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6_千代台公園庭球場\"/>
    </mc:Choice>
  </mc:AlternateContent>
  <xr:revisionPtr revIDLastSave="0" documentId="13_ncr:1_{14611713-0254-4908-A04D-7331DB8ED555}" xr6:coauthVersionLast="47" xr6:coauthVersionMax="47" xr10:uidLastSave="{00000000-0000-0000-0000-000000000000}"/>
  <bookViews>
    <workbookView xWindow="40920" yWindow="-120" windowWidth="29040" windowHeight="15840" activeTab="3" xr2:uid="{00000000-000D-0000-FFFF-FFFF00000000}"/>
  </bookViews>
  <sheets>
    <sheet name="設定ベースライン" sheetId="2" r:id="rId1"/>
    <sheet name="照明器具一覧" sheetId="5" r:id="rId2"/>
    <sheet name="照明設備稼働時間" sheetId="4" r:id="rId3"/>
    <sheet name="照明器具台数" sheetId="6" r:id="rId4"/>
    <sheet name="既設照明器具リスト" sheetId="8" r:id="rId5"/>
  </sheets>
  <definedNames>
    <definedName name="_xlnm._FilterDatabase" localSheetId="4" hidden="1">既設照明器具リスト!$A$3:$O$40</definedName>
    <definedName name="_xlnm._FilterDatabase" localSheetId="1" hidden="1">照明器具一覧!$A$3:$F$3</definedName>
    <definedName name="_xlnm.Print_Area" localSheetId="4">既設照明器具リスト!$A$1:$O$39</definedName>
    <definedName name="_xlnm.Print_Titles" localSheetId="4">既設照明器具リスト!$3:$3</definedName>
    <definedName name="_xlnm.Print_Titles" localSheetId="1">照明器具一覧!$3:$3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4" i="4"/>
  <c r="D9" i="6"/>
  <c r="C9" i="6"/>
  <c r="B9" i="6"/>
  <c r="D8" i="6"/>
  <c r="C8" i="6"/>
  <c r="B8" i="6"/>
  <c r="D7" i="6"/>
  <c r="C7" i="6"/>
  <c r="B7" i="6"/>
  <c r="D6" i="6"/>
  <c r="C6" i="6"/>
  <c r="B6" i="6"/>
  <c r="D5" i="6"/>
  <c r="C5" i="6"/>
  <c r="B5" i="6"/>
  <c r="D4" i="6"/>
  <c r="C4" i="6"/>
  <c r="B4" i="6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4" i="5"/>
  <c r="D12" i="6" l="1"/>
  <c r="C10" i="6"/>
  <c r="D11" i="6"/>
  <c r="E9" i="6"/>
  <c r="B12" i="6"/>
  <c r="E5" i="6"/>
  <c r="C11" i="6"/>
  <c r="E8" i="6"/>
  <c r="E6" i="6"/>
  <c r="E7" i="6"/>
  <c r="B10" i="6"/>
  <c r="C12" i="6"/>
  <c r="E4" i="6"/>
  <c r="D10" i="6"/>
  <c r="B11" i="6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E12" i="6" l="1"/>
  <c r="M4" i="8" a="1"/>
  <c r="M4" i="8" s="1"/>
  <c r="E11" i="6"/>
  <c r="E10" i="6"/>
  <c r="K4" i="8" a="1"/>
  <c r="K4" i="8" l="1"/>
  <c r="O4" i="8" s="1"/>
  <c r="O39" i="8"/>
  <c r="O15" i="8"/>
  <c r="O33" i="8"/>
  <c r="O38" i="8"/>
  <c r="O12" i="8"/>
  <c r="O37" i="8"/>
  <c r="O13" i="8"/>
  <c r="O32" i="8"/>
  <c r="O28" i="8"/>
  <c r="O9" i="8"/>
  <c r="O20" i="8"/>
  <c r="O10" i="8"/>
  <c r="O7" i="8"/>
  <c r="O36" i="8"/>
  <c r="O25" i="8"/>
  <c r="O11" i="8"/>
  <c r="O23" i="8"/>
  <c r="O19" i="8"/>
  <c r="O21" i="8"/>
  <c r="O14" i="8"/>
  <c r="O24" i="8"/>
  <c r="O31" i="8"/>
  <c r="O27" i="8"/>
  <c r="O29" i="8"/>
  <c r="O35" i="8"/>
  <c r="O26" i="8"/>
  <c r="O5" i="8"/>
  <c r="O18" i="8"/>
  <c r="O8" i="8"/>
  <c r="O34" i="8"/>
  <c r="O16" i="8"/>
  <c r="O6" i="8"/>
  <c r="O17" i="8"/>
  <c r="O30" i="8"/>
  <c r="O22" i="8"/>
  <c r="O40" i="8" l="1"/>
  <c r="B6" i="2"/>
  <c r="B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<sst xmlns="http://schemas.openxmlformats.org/spreadsheetml/2006/main" count="374" uniqueCount="140">
  <si>
    <t>No.</t>
    <phoneticPr fontId="3"/>
  </si>
  <si>
    <t>階</t>
    <rPh sb="0" eb="1">
      <t>カイ</t>
    </rPh>
    <phoneticPr fontId="3"/>
  </si>
  <si>
    <t>照明種類</t>
    <rPh sb="0" eb="4">
      <t>ショウメイシュルイ</t>
    </rPh>
    <phoneticPr fontId="3"/>
  </si>
  <si>
    <t>灯数</t>
    <rPh sb="0" eb="2">
      <t>トウスウ</t>
    </rPh>
    <phoneticPr fontId="3"/>
  </si>
  <si>
    <t>台数</t>
    <rPh sb="0" eb="2">
      <t>ダイスウ</t>
    </rPh>
    <phoneticPr fontId="3"/>
  </si>
  <si>
    <t>仕様</t>
    <rPh sb="0" eb="2">
      <t>シヨウ</t>
    </rPh>
    <phoneticPr fontId="3"/>
  </si>
  <si>
    <t>1F</t>
  </si>
  <si>
    <t>1F</t>
    <phoneticPr fontId="3"/>
  </si>
  <si>
    <t>風除室</t>
    <rPh sb="0" eb="3">
      <t>フウジョシツ</t>
    </rPh>
    <phoneticPr fontId="3"/>
  </si>
  <si>
    <t>電気室</t>
    <rPh sb="0" eb="3">
      <t>デンキシツ</t>
    </rPh>
    <phoneticPr fontId="3"/>
  </si>
  <si>
    <t>ﾀﾞｳﾝﾗｲﾄ　WP</t>
    <phoneticPr fontId="3"/>
  </si>
  <si>
    <t>ﾀﾞｳﾝﾗｲﾄ WP</t>
    <phoneticPr fontId="3"/>
  </si>
  <si>
    <t>ﾀﾞｳﾝﾗｲﾄ</t>
    <phoneticPr fontId="3"/>
  </si>
  <si>
    <t>備考</t>
    <rPh sb="0" eb="2">
      <t>ビコウ</t>
    </rPh>
    <phoneticPr fontId="3"/>
  </si>
  <si>
    <t>V401</t>
    <phoneticPr fontId="3"/>
  </si>
  <si>
    <t>V201</t>
    <phoneticPr fontId="3"/>
  </si>
  <si>
    <t>ホール</t>
    <phoneticPr fontId="3"/>
  </si>
  <si>
    <t>FCL40＋30</t>
    <phoneticPr fontId="3"/>
  </si>
  <si>
    <t>PIL7.2V20WS35E17</t>
    <phoneticPr fontId="3"/>
  </si>
  <si>
    <t>丸形　埋込</t>
    <rPh sb="0" eb="2">
      <t>マルガタ</t>
    </rPh>
    <rPh sb="3" eb="4">
      <t>ウ</t>
    </rPh>
    <rPh sb="4" eb="5">
      <t>コ</t>
    </rPh>
    <phoneticPr fontId="3"/>
  </si>
  <si>
    <t>非常灯(IEM20801)</t>
    <rPh sb="0" eb="3">
      <t>ヒジョウトウ</t>
    </rPh>
    <phoneticPr fontId="3"/>
  </si>
  <si>
    <t>誘導灯(FBK2107)</t>
    <rPh sb="0" eb="3">
      <t>ユウドウトウ</t>
    </rPh>
    <phoneticPr fontId="3"/>
  </si>
  <si>
    <t>廊下</t>
    <rPh sb="0" eb="2">
      <t>ロウカ</t>
    </rPh>
    <phoneticPr fontId="3"/>
  </si>
  <si>
    <t>女子ロッカー室</t>
    <rPh sb="0" eb="2">
      <t>ジョシ</t>
    </rPh>
    <rPh sb="6" eb="7">
      <t>シツ</t>
    </rPh>
    <phoneticPr fontId="3"/>
  </si>
  <si>
    <t>女子便所</t>
    <rPh sb="0" eb="4">
      <t>ジョシベンジョ</t>
    </rPh>
    <phoneticPr fontId="3"/>
  </si>
  <si>
    <t>男子便所</t>
    <rPh sb="0" eb="4">
      <t>ダンシベンジョ</t>
    </rPh>
    <phoneticPr fontId="3"/>
  </si>
  <si>
    <t>男子ロッカー室</t>
    <rPh sb="0" eb="2">
      <t>ダンシ</t>
    </rPh>
    <rPh sb="6" eb="7">
      <t>シツ</t>
    </rPh>
    <phoneticPr fontId="3"/>
  </si>
  <si>
    <t>受付</t>
    <rPh sb="0" eb="2">
      <t>ウケツケ</t>
    </rPh>
    <phoneticPr fontId="3"/>
  </si>
  <si>
    <t>階段下倉庫</t>
    <rPh sb="0" eb="5">
      <t>カイダンシタソウコ</t>
    </rPh>
    <phoneticPr fontId="3"/>
  </si>
  <si>
    <t>階段</t>
    <rPh sb="0" eb="2">
      <t>カイダン</t>
    </rPh>
    <phoneticPr fontId="3"/>
  </si>
  <si>
    <t>2F</t>
    <phoneticPr fontId="3"/>
  </si>
  <si>
    <t>ロビー</t>
    <phoneticPr fontId="3"/>
  </si>
  <si>
    <t>サービスカウンター</t>
    <phoneticPr fontId="3"/>
  </si>
  <si>
    <t>渡り廊下</t>
    <rPh sb="0" eb="1">
      <t>ワタ</t>
    </rPh>
    <rPh sb="2" eb="4">
      <t>ロウカ</t>
    </rPh>
    <phoneticPr fontId="3"/>
  </si>
  <si>
    <t>外壁</t>
    <rPh sb="0" eb="2">
      <t>ガイヘキ</t>
    </rPh>
    <phoneticPr fontId="3"/>
  </si>
  <si>
    <t>テニスコート</t>
    <phoneticPr fontId="3"/>
  </si>
  <si>
    <t>V401 WP SUS</t>
    <phoneticPr fontId="3"/>
  </si>
  <si>
    <t>V402</t>
    <phoneticPr fontId="3"/>
  </si>
  <si>
    <t>ブラケット(IB3601)</t>
    <phoneticPr fontId="3"/>
  </si>
  <si>
    <t>V202 WP</t>
    <phoneticPr fontId="3"/>
  </si>
  <si>
    <t>ブラケット</t>
    <phoneticPr fontId="3"/>
  </si>
  <si>
    <t>非常灯(IEM40801)</t>
    <rPh sb="0" eb="3">
      <t>ヒジョウトウ</t>
    </rPh>
    <phoneticPr fontId="3"/>
  </si>
  <si>
    <t>誘導灯　両面</t>
    <rPh sb="0" eb="3">
      <t>ユウドウトウ</t>
    </rPh>
    <rPh sb="4" eb="6">
      <t>リョウメン</t>
    </rPh>
    <phoneticPr fontId="3"/>
  </si>
  <si>
    <t>投光器</t>
    <rPh sb="0" eb="3">
      <t>トウコウキ</t>
    </rPh>
    <phoneticPr fontId="3"/>
  </si>
  <si>
    <t>MF1000</t>
    <phoneticPr fontId="3"/>
  </si>
  <si>
    <t>BHGF100-110V100W/T</t>
    <phoneticPr fontId="3"/>
  </si>
  <si>
    <t>PIL14.4V40</t>
    <phoneticPr fontId="3"/>
  </si>
  <si>
    <t>LED</t>
    <phoneticPr fontId="3"/>
  </si>
  <si>
    <t>非常灯</t>
    <rPh sb="0" eb="3">
      <t>ヒジョウトウ</t>
    </rPh>
    <phoneticPr fontId="3"/>
  </si>
  <si>
    <t>女子シャワー室</t>
    <rPh sb="0" eb="2">
      <t>ジョシ</t>
    </rPh>
    <rPh sb="6" eb="7">
      <t>シツ</t>
    </rPh>
    <phoneticPr fontId="3"/>
  </si>
  <si>
    <t>女子トイレ(旧シャワー室)</t>
    <rPh sb="0" eb="2">
      <t>ジョシ</t>
    </rPh>
    <rPh sb="6" eb="7">
      <t>キュウ</t>
    </rPh>
    <rPh sb="11" eb="12">
      <t>シツ</t>
    </rPh>
    <phoneticPr fontId="3"/>
  </si>
  <si>
    <t>男子シャワー室</t>
    <rPh sb="0" eb="2">
      <t>ダンシ</t>
    </rPh>
    <rPh sb="6" eb="7">
      <t>シツ</t>
    </rPh>
    <phoneticPr fontId="3"/>
  </si>
  <si>
    <t>C3</t>
    <phoneticPr fontId="3"/>
  </si>
  <si>
    <t>C2</t>
    <phoneticPr fontId="3"/>
  </si>
  <si>
    <t>B3</t>
    <phoneticPr fontId="3"/>
  </si>
  <si>
    <t>B1</t>
    <phoneticPr fontId="3"/>
  </si>
  <si>
    <t>A2</t>
    <phoneticPr fontId="3"/>
  </si>
  <si>
    <t>F1</t>
    <phoneticPr fontId="3"/>
  </si>
  <si>
    <t>G1</t>
    <phoneticPr fontId="3"/>
  </si>
  <si>
    <t>C1</t>
    <phoneticPr fontId="3"/>
  </si>
  <si>
    <t>C1LED</t>
    <phoneticPr fontId="3"/>
  </si>
  <si>
    <t>B5</t>
    <phoneticPr fontId="3"/>
  </si>
  <si>
    <t>B4</t>
    <phoneticPr fontId="3"/>
  </si>
  <si>
    <t>B2</t>
    <phoneticPr fontId="3"/>
  </si>
  <si>
    <t>E</t>
    <phoneticPr fontId="3"/>
  </si>
  <si>
    <t>H</t>
    <phoneticPr fontId="3"/>
  </si>
  <si>
    <t>I</t>
    <phoneticPr fontId="3"/>
  </si>
  <si>
    <t>F2</t>
    <phoneticPr fontId="3"/>
  </si>
  <si>
    <t>A1</t>
    <phoneticPr fontId="3"/>
  </si>
  <si>
    <t>G2</t>
    <phoneticPr fontId="3"/>
  </si>
  <si>
    <t>D</t>
    <phoneticPr fontId="3"/>
  </si>
  <si>
    <t>F2LED</t>
    <phoneticPr fontId="3"/>
  </si>
  <si>
    <t>殺虫器</t>
    <rPh sb="0" eb="2">
      <t>サッチュウ</t>
    </rPh>
    <rPh sb="2" eb="3">
      <t>キ</t>
    </rPh>
    <phoneticPr fontId="3"/>
  </si>
  <si>
    <t>部屋名</t>
    <rPh sb="0" eb="3">
      <t>ヘヤメイ</t>
    </rPh>
    <phoneticPr fontId="3"/>
  </si>
  <si>
    <t>FDL18W</t>
    <phoneticPr fontId="3"/>
  </si>
  <si>
    <t>FLR40W</t>
    <phoneticPr fontId="3"/>
  </si>
  <si>
    <t>FL20W</t>
    <phoneticPr fontId="3"/>
  </si>
  <si>
    <t>FDL27W</t>
    <phoneticPr fontId="3"/>
  </si>
  <si>
    <t>IL60W</t>
    <phoneticPr fontId="3"/>
  </si>
  <si>
    <t>FCL40W</t>
    <phoneticPr fontId="3"/>
  </si>
  <si>
    <t>図面記号</t>
    <rPh sb="0" eb="2">
      <t>ズメン</t>
    </rPh>
    <rPh sb="2" eb="4">
      <t>キゴウ</t>
    </rPh>
    <phoneticPr fontId="3"/>
  </si>
  <si>
    <t>設定ベースライン</t>
    <rPh sb="0" eb="2">
      <t>セッテイ</t>
    </rPh>
    <phoneticPr fontId="3"/>
  </si>
  <si>
    <t>kWh</t>
    <phoneticPr fontId="3"/>
  </si>
  <si>
    <t>使用電力量（kWh）</t>
    <rPh sb="0" eb="5">
      <t>シヨウデンリョクリョウ</t>
    </rPh>
    <phoneticPr fontId="3"/>
  </si>
  <si>
    <t>合計</t>
    <rPh sb="0" eb="2">
      <t>ゴウケイ</t>
    </rPh>
    <phoneticPr fontId="3"/>
  </si>
  <si>
    <t>室種別名称</t>
    <rPh sb="0" eb="1">
      <t>シツ</t>
    </rPh>
    <rPh sb="1" eb="3">
      <t>シュベツ</t>
    </rPh>
    <rPh sb="3" eb="5">
      <t>メイショウ</t>
    </rPh>
    <phoneticPr fontId="3"/>
  </si>
  <si>
    <t>稼働時間帯</t>
    <rPh sb="0" eb="5">
      <t>カドウジカンタイ</t>
    </rPh>
    <phoneticPr fontId="3"/>
  </si>
  <si>
    <t>稼働時間
ｈ/ｄ</t>
    <rPh sb="0" eb="4">
      <t>カドウジカン</t>
    </rPh>
    <phoneticPr fontId="3"/>
  </si>
  <si>
    <t>稼働日数
ｄ/ｙ</t>
    <rPh sb="0" eb="2">
      <t>カドウ</t>
    </rPh>
    <rPh sb="2" eb="4">
      <t>ニッスウ</t>
    </rPh>
    <phoneticPr fontId="3"/>
  </si>
  <si>
    <t>年間稼働時間
ｈ/ｙ</t>
    <rPh sb="0" eb="2">
      <t>ネンカン</t>
    </rPh>
    <rPh sb="2" eb="6">
      <t>カドウジカン</t>
    </rPh>
    <phoneticPr fontId="3"/>
  </si>
  <si>
    <t>共用部</t>
    <rPh sb="0" eb="3">
      <t>キョウヨウブ</t>
    </rPh>
    <phoneticPr fontId="3"/>
  </si>
  <si>
    <t>廊下・階段室・給湯室他</t>
    <rPh sb="0" eb="2">
      <t>ロウカ</t>
    </rPh>
    <rPh sb="3" eb="6">
      <t>カイダンシツ</t>
    </rPh>
    <rPh sb="7" eb="10">
      <t>キュウトウシツ</t>
    </rPh>
    <rPh sb="10" eb="11">
      <t>ホカ</t>
    </rPh>
    <phoneticPr fontId="3"/>
  </si>
  <si>
    <t>便所</t>
    <rPh sb="0" eb="2">
      <t>ベンジョ</t>
    </rPh>
    <phoneticPr fontId="3"/>
  </si>
  <si>
    <t>更衣室</t>
    <rPh sb="0" eb="3">
      <t>コウイシツ</t>
    </rPh>
    <phoneticPr fontId="3"/>
  </si>
  <si>
    <t>倉庫等</t>
    <rPh sb="0" eb="2">
      <t>ソウコ</t>
    </rPh>
    <rPh sb="2" eb="3">
      <t>トウ</t>
    </rPh>
    <phoneticPr fontId="3"/>
  </si>
  <si>
    <t>№</t>
    <phoneticPr fontId="3"/>
  </si>
  <si>
    <t>検索用</t>
    <rPh sb="0" eb="3">
      <t>ケンサクヨウ</t>
    </rPh>
    <phoneticPr fontId="3"/>
  </si>
  <si>
    <t>照明器具</t>
    <rPh sb="0" eb="4">
      <t>ショウメイキグ</t>
    </rPh>
    <phoneticPr fontId="3"/>
  </si>
  <si>
    <t>照明器具仕様</t>
    <rPh sb="0" eb="6">
      <t>ショウメイキグシヨウ</t>
    </rPh>
    <phoneticPr fontId="3"/>
  </si>
  <si>
    <t>消費電力　W/台</t>
    <rPh sb="0" eb="4">
      <t>ショウヒデンリョク</t>
    </rPh>
    <rPh sb="7" eb="8">
      <t>ダイ</t>
    </rPh>
    <phoneticPr fontId="3"/>
  </si>
  <si>
    <t>屋外</t>
    <rPh sb="0" eb="2">
      <t>オクガイ</t>
    </rPh>
    <phoneticPr fontId="3"/>
  </si>
  <si>
    <t>2F</t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</si>
  <si>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3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</si>
  <si>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3"/>
  </si>
  <si>
    <t>誘導灯
（更新対象）</t>
    <rPh sb="0" eb="3">
      <t>ユウドウトウ</t>
    </rPh>
    <rPh sb="5" eb="9">
      <t>コウシンタイショウ</t>
    </rPh>
    <phoneticPr fontId="3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</si>
  <si>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3"/>
  </si>
  <si>
    <t>更新
対象</t>
    <rPh sb="0" eb="2">
      <t>コウシン</t>
    </rPh>
    <rPh sb="3" eb="5">
      <t>タイショウ</t>
    </rPh>
    <phoneticPr fontId="3"/>
  </si>
  <si>
    <t>年間
点灯時間</t>
    <rPh sb="0" eb="2">
      <t>ネンカン</t>
    </rPh>
    <rPh sb="3" eb="5">
      <t>テントウ</t>
    </rPh>
    <rPh sb="5" eb="7">
      <t>ジカン</t>
    </rPh>
    <phoneticPr fontId="3"/>
  </si>
  <si>
    <t>消費電力
(W/台)</t>
    <rPh sb="0" eb="4">
      <t>ショウヒデンリョク</t>
    </rPh>
    <rPh sb="8" eb="9">
      <t>ダイ</t>
    </rPh>
    <phoneticPr fontId="3"/>
  </si>
  <si>
    <t>稼働率</t>
    <rPh sb="0" eb="3">
      <t>カドウリツ</t>
    </rPh>
    <phoneticPr fontId="3"/>
  </si>
  <si>
    <t>□</t>
  </si>
  <si>
    <t>■</t>
  </si>
  <si>
    <t>千代台公園庭球場照明器具台数</t>
    <rPh sb="0" eb="3">
      <t>チヨガダイ</t>
    </rPh>
    <rPh sb="3" eb="5">
      <t>コウエン</t>
    </rPh>
    <rPh sb="5" eb="8">
      <t>テイキュウジョウ</t>
    </rPh>
    <rPh sb="8" eb="14">
      <t>ショウメイキグダイスウ</t>
    </rPh>
    <phoneticPr fontId="3"/>
  </si>
  <si>
    <t>千代台公園庭球場照明設備稼働時間</t>
    <rPh sb="0" eb="3">
      <t>チヨガダイ</t>
    </rPh>
    <rPh sb="3" eb="5">
      <t>コウエン</t>
    </rPh>
    <rPh sb="5" eb="8">
      <t>テイキュウジョウ</t>
    </rPh>
    <rPh sb="8" eb="10">
      <t>ショウメイ</t>
    </rPh>
    <rPh sb="10" eb="12">
      <t>セツビ</t>
    </rPh>
    <rPh sb="12" eb="16">
      <t>カドウジカン</t>
    </rPh>
    <phoneticPr fontId="3"/>
  </si>
  <si>
    <t>室種別名称</t>
    <rPh sb="0" eb="3">
      <t>シツシュベツ</t>
    </rPh>
    <rPh sb="3" eb="5">
      <t>メイショウ</t>
    </rPh>
    <phoneticPr fontId="3"/>
  </si>
  <si>
    <t>06：00～22：00</t>
    <phoneticPr fontId="3"/>
  </si>
  <si>
    <t>機械室</t>
    <rPh sb="0" eb="3">
      <t>キカイシツ</t>
    </rPh>
    <phoneticPr fontId="3"/>
  </si>
  <si>
    <t>シャワー室</t>
    <rPh sb="4" eb="5">
      <t>シツ</t>
    </rPh>
    <phoneticPr fontId="3"/>
  </si>
  <si>
    <t>執務室（1F）</t>
    <rPh sb="0" eb="3">
      <t>シツムシツ</t>
    </rPh>
    <phoneticPr fontId="3"/>
  </si>
  <si>
    <t>執務室（2F）</t>
    <rPh sb="0" eb="3">
      <t>シツムシツ</t>
    </rPh>
    <phoneticPr fontId="3"/>
  </si>
  <si>
    <t>08：00～17：00</t>
    <phoneticPr fontId="3"/>
  </si>
  <si>
    <t>夜間照明</t>
    <rPh sb="0" eb="4">
      <t>ヤカンショウメイ</t>
    </rPh>
    <phoneticPr fontId="3"/>
  </si>
  <si>
    <t>17：00～22：00</t>
    <phoneticPr fontId="3"/>
  </si>
  <si>
    <t>外灯</t>
    <rPh sb="0" eb="2">
      <t>ガイトウ</t>
    </rPh>
    <phoneticPr fontId="3"/>
  </si>
  <si>
    <t>年間消費電力
（kWh）</t>
    <rPh sb="0" eb="6">
      <t>ネンカンショウヒデンリョク</t>
    </rPh>
    <phoneticPr fontId="3"/>
  </si>
  <si>
    <t>誘導灯</t>
    <rPh sb="0" eb="3">
      <t>ユウドウトウ</t>
    </rPh>
    <phoneticPr fontId="3"/>
  </si>
  <si>
    <t>非常用照明</t>
    <rPh sb="0" eb="5">
      <t>ヒジョウヨウショウメイ</t>
    </rPh>
    <phoneticPr fontId="3"/>
  </si>
  <si>
    <t>00：00～24：00</t>
    <phoneticPr fontId="3"/>
  </si>
  <si>
    <t>年間の想定される使用電力量</t>
    <rPh sb="0" eb="2">
      <t>ネンカン</t>
    </rPh>
    <rPh sb="3" eb="5">
      <t>ソウテイ</t>
    </rPh>
    <rPh sb="8" eb="13">
      <t>シヨウデンリョクリョウ</t>
    </rPh>
    <phoneticPr fontId="3"/>
  </si>
  <si>
    <t>更新対象
合計</t>
    <rPh sb="0" eb="4">
      <t>コウシンタイショウ</t>
    </rPh>
    <rPh sb="5" eb="7">
      <t>ゴウケイ</t>
    </rPh>
    <phoneticPr fontId="3"/>
  </si>
  <si>
    <t>更新対象外
合計</t>
    <rPh sb="0" eb="4">
      <t>コウシンタイショウ</t>
    </rPh>
    <rPh sb="4" eb="5">
      <t>ガイ</t>
    </rPh>
    <rPh sb="6" eb="8">
      <t>ゴウケイ</t>
    </rPh>
    <phoneticPr fontId="3"/>
  </si>
  <si>
    <t>器具合計</t>
    <rPh sb="0" eb="2">
      <t>キグ</t>
    </rPh>
    <rPh sb="2" eb="4">
      <t>ゴウケイ</t>
    </rPh>
    <phoneticPr fontId="3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</si>
  <si>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3"/>
  </si>
  <si>
    <t>非常照明
（更新対象外）</t>
    <rPh sb="0" eb="2">
      <t>ヒジョウ</t>
    </rPh>
    <rPh sb="2" eb="4">
      <t>ショウメイ</t>
    </rPh>
    <rPh sb="6" eb="10">
      <t>コウシンタイショウ</t>
    </rPh>
    <rPh sb="10" eb="11">
      <t>ガイ</t>
    </rPh>
    <phoneticPr fontId="3"/>
  </si>
  <si>
    <t>稼働率70％</t>
    <rPh sb="0" eb="3">
      <t>カドウリツ</t>
    </rPh>
    <phoneticPr fontId="3"/>
  </si>
  <si>
    <t>千代台公園庭球場照明器具一覧</t>
    <rPh sb="0" eb="5">
      <t>チヨガダイコウエン</t>
    </rPh>
    <rPh sb="5" eb="8">
      <t>テイキュウジョウ</t>
    </rPh>
    <rPh sb="8" eb="12">
      <t>ショウメイキグ</t>
    </rPh>
    <rPh sb="12" eb="14">
      <t>イチラン</t>
    </rPh>
    <phoneticPr fontId="3"/>
  </si>
  <si>
    <t>千代台公園庭球場既設照明器具リスト</t>
    <rPh sb="0" eb="3">
      <t>チヨガダイ</t>
    </rPh>
    <rPh sb="3" eb="5">
      <t>コウエン</t>
    </rPh>
    <rPh sb="5" eb="8">
      <t>テイキュウジョウ</t>
    </rPh>
    <rPh sb="8" eb="10">
      <t>キセツ</t>
    </rPh>
    <rPh sb="10" eb="12">
      <t>ショウメイ</t>
    </rPh>
    <rPh sb="12" eb="14">
      <t>キグ</t>
    </rPh>
    <phoneticPr fontId="3"/>
  </si>
  <si>
    <t>表に記載の数量は企画提案書作成時の参考とし，最終的な数量は受託候補者決定後の現地調査，詳細協議および仕様作成を経て確定することとする。</t>
    <phoneticPr fontId="3"/>
  </si>
  <si>
    <t>照明設備部分のみの使用電力</t>
    <rPh sb="0" eb="4">
      <t>ショウメイセツビ</t>
    </rPh>
    <rPh sb="4" eb="6">
      <t>ブブン</t>
    </rPh>
    <rPh sb="9" eb="13">
      <t>シヨウデンリョク</t>
    </rPh>
    <phoneticPr fontId="3"/>
  </si>
  <si>
    <t>千代台公園庭球場は千代台公園，千代台公園野球場，千代台公園陸上競技場との一括での電気利用契約となっている。</t>
    <rPh sb="0" eb="8">
      <t>チヨガダイコウエンテイキュウジョウ</t>
    </rPh>
    <rPh sb="15" eb="20">
      <t>チヨガダイコウエン</t>
    </rPh>
    <rPh sb="20" eb="23">
      <t>ヤキュウジョウ</t>
    </rPh>
    <rPh sb="24" eb="29">
      <t>チヨガダイコウエン</t>
    </rPh>
    <rPh sb="29" eb="34">
      <t>リクジョウキョウギジョウ</t>
    </rPh>
    <rPh sb="36" eb="38">
      <t>イッカツ</t>
    </rPh>
    <rPh sb="40" eb="42">
      <t>デンキ</t>
    </rPh>
    <rPh sb="42" eb="44">
      <t>リヨウ</t>
    </rPh>
    <rPh sb="44" eb="46">
      <t>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</si>
</sst>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×&quot;#,##0"/>
    <numFmt numFmtId="177" formatCode="#,##0;[Red]#,##0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0" fillId="0" borderId="1" xfId="0" applyBorder="1"/>
    <xf numFmtId="0" fontId="0" fillId="0" borderId="1" xfId="0" applyFill="1" applyBorder="1"/>
    <xf numFmtId="176" fontId="0" fillId="0" borderId="1" xfId="0" applyNumberFormat="1" applyFill="1" applyBorder="1"/>
    <xf numFmtId="0" fontId="5" fillId="0" borderId="2" xfId="0" applyFont="1" applyBorder="1"/>
    <xf numFmtId="38" fontId="5" fillId="0" borderId="2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8" fontId="6" fillId="0" borderId="1" xfId="1" applyFont="1" applyBorder="1" applyAlignment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8" fontId="6" fillId="0" borderId="3" xfId="0" applyNumberFormat="1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 wrapText="1"/>
    </xf>
    <xf numFmtId="38" fontId="6" fillId="0" borderId="1" xfId="1" applyFont="1" applyFill="1" applyBorder="1" applyAlignment="1">
      <alignment vertical="center" shrinkToFi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/>
    <xf numFmtId="38" fontId="6" fillId="0" borderId="6" xfId="0" applyNumberFormat="1" applyFont="1" applyBorder="1"/>
    <xf numFmtId="38" fontId="6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38" fontId="6" fillId="0" borderId="7" xfId="0" applyNumberFormat="1" applyFont="1" applyBorder="1"/>
    <xf numFmtId="0" fontId="6" fillId="0" borderId="5" xfId="0" applyFont="1" applyBorder="1"/>
    <xf numFmtId="38" fontId="6" fillId="0" borderId="8" xfId="0" applyNumberFormat="1" applyFont="1" applyBorder="1"/>
    <xf numFmtId="0" fontId="6" fillId="0" borderId="9" xfId="0" applyFont="1" applyBorder="1"/>
    <xf numFmtId="38" fontId="6" fillId="0" borderId="10" xfId="0" applyNumberFormat="1" applyFont="1" applyBorder="1"/>
    <xf numFmtId="38" fontId="6" fillId="0" borderId="4" xfId="0" applyNumberFormat="1" applyFont="1" applyBorder="1"/>
    <xf numFmtId="177" fontId="9" fillId="0" borderId="1" xfId="1" applyNumberFormat="1" applyFont="1" applyBorder="1" applyAlignment="1"/>
    <xf numFmtId="177" fontId="0" fillId="0" borderId="0" xfId="0" applyNumberFormat="1"/>
    <xf numFmtId="177" fontId="6" fillId="0" borderId="1" xfId="0" applyNumberFormat="1" applyFont="1" applyBorder="1" applyAlignment="1">
      <alignment horizontal="center" wrapText="1"/>
    </xf>
    <xf numFmtId="177" fontId="6" fillId="0" borderId="1" xfId="0" applyNumberFormat="1" applyFont="1" applyBorder="1"/>
    <xf numFmtId="177" fontId="0" fillId="0" borderId="1" xfId="0" applyNumberFormat="1" applyBorder="1"/>
    <xf numFmtId="0" fontId="6" fillId="0" borderId="11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3 2" xfId="2" xr:uid="{E0B1A06B-0D1E-40F2-A44C-63A7623933BC}"/>
    <cellStyle name="標準 3 2 2" xfId="4" xr:uid="{9220832E-DA7A-47C3-B0B3-1799D8DAD2CB}"/>
    <cellStyle name="標準 3 3 2" xfId="3" xr:uid="{5735D927-B180-4972-987A-67CC91D709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C6A8-09BA-4889-9D0D-57C0FEA1ADA2}">
  <sheetPr>
    <tabColor rgb="FF00B050"/>
  </sheetPr>
  <dimension ref="A3:C7"/>
  <sheetViews>
    <sheetView workbookViewId="0">
      <selection activeCell="A7" sqref="A7:C7"/>
    </sheetView>
  </sheetViews>
  <sheetFormatPr defaultRowHeight="17.649999999999999"/>
  <cols>
    <col min="1" max="1" width="25.5625" customWidth="1"/>
    <col min="2" max="2" width="27.5625" customWidth="1"/>
    <col min="3" max="3" width="26.5625" customWidth="1"/>
  </cols>
  <sheetData>
    <row r="3" spans="1:3" ht="25.05" customHeight="1" thickBot="1">
      <c r="A3" s="4" t="s">
        <v>81</v>
      </c>
      <c r="B3" s="5">
        <f>B6</f>
        <v>76790.539399999994</v>
      </c>
      <c r="C3" s="4" t="s">
        <v>82</v>
      </c>
    </row>
    <row r="4" spans="1:3" ht="25.05" customHeight="1">
      <c r="A4" s="6"/>
      <c r="B4" s="6"/>
    </row>
    <row r="5" spans="1:3" ht="25.05" customHeight="1">
      <c r="A5" s="7"/>
      <c r="B5" s="7" t="s">
        <v>128</v>
      </c>
      <c r="C5" s="7" t="s">
        <v>13</v>
      </c>
    </row>
    <row r="6" spans="1:3" ht="25.05" customHeight="1">
      <c r="A6" s="8" t="s">
        <v>83</v>
      </c>
      <c r="B6" s="9">
        <f>SUM(既設照明器具リスト!O4:O39)</f>
        <v>76790.539399999994</v>
      </c>
      <c r="C6" s="8" t="s">
        <v>138</v>
      </c>
    </row>
    <row r="7" spans="1:3" ht="43.15" customHeight="1">
      <c r="A7" s="43" t="s">
        <v>139</v>
      </c>
      <c r="B7" s="43"/>
      <c r="C7" s="43"/>
    </row>
  </sheetData>
  <mergeCells count="1">
    <mergeCell ref="A7:C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889D-53E2-4D0C-9E3D-A9550175EFC6}">
  <sheetPr>
    <tabColor rgb="FF00B050"/>
  </sheetPr>
  <dimension ref="A1:F27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7.649999999999999"/>
  <cols>
    <col min="1" max="1" width="4.875" customWidth="1"/>
    <col min="2" max="2" width="41.125" hidden="1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12" t="s">
        <v>135</v>
      </c>
    </row>
    <row r="2" spans="1:6">
      <c r="A2" s="12"/>
    </row>
    <row r="3" spans="1:6">
      <c r="A3" s="16" t="s">
        <v>95</v>
      </c>
      <c r="B3" s="16" t="s">
        <v>96</v>
      </c>
      <c r="C3" s="16" t="s">
        <v>97</v>
      </c>
      <c r="D3" s="16" t="s">
        <v>3</v>
      </c>
      <c r="E3" s="16" t="s">
        <v>98</v>
      </c>
      <c r="F3" s="16" t="s">
        <v>99</v>
      </c>
    </row>
    <row r="4" spans="1:6">
      <c r="A4" s="8">
        <v>1</v>
      </c>
      <c r="B4" s="8" t="str">
        <f>C4&amp;D4&amp;E4</f>
        <v>FDL18W1ﾀﾞｳﾝﾗｲﾄ WP</v>
      </c>
      <c r="C4" s="25" t="s">
        <v>74</v>
      </c>
      <c r="D4" s="27">
        <v>1</v>
      </c>
      <c r="E4" s="25" t="s">
        <v>11</v>
      </c>
      <c r="F4" s="25">
        <v>22</v>
      </c>
    </row>
    <row r="5" spans="1:6">
      <c r="A5" s="8">
        <v>2</v>
      </c>
      <c r="B5" s="8" t="str">
        <f t="shared" ref="B5:B27" si="0">C5&amp;D5&amp;E5</f>
        <v>FDL18W1ﾀﾞｳﾝﾗｲﾄ</v>
      </c>
      <c r="C5" s="25" t="s">
        <v>74</v>
      </c>
      <c r="D5" s="27">
        <v>1</v>
      </c>
      <c r="E5" s="25" t="s">
        <v>12</v>
      </c>
      <c r="F5" s="25">
        <v>22</v>
      </c>
    </row>
    <row r="6" spans="1:6">
      <c r="A6" s="8">
        <v>3</v>
      </c>
      <c r="B6" s="8" t="str">
        <f t="shared" si="0"/>
        <v>FLR40W1V401</v>
      </c>
      <c r="C6" s="25" t="s">
        <v>75</v>
      </c>
      <c r="D6" s="27">
        <v>1</v>
      </c>
      <c r="E6" s="25" t="s">
        <v>14</v>
      </c>
      <c r="F6" s="25">
        <v>45</v>
      </c>
    </row>
    <row r="7" spans="1:6">
      <c r="A7" s="8">
        <v>4</v>
      </c>
      <c r="B7" s="8" t="str">
        <f t="shared" si="0"/>
        <v>FL20W1V201</v>
      </c>
      <c r="C7" s="25" t="s">
        <v>76</v>
      </c>
      <c r="D7" s="27">
        <v>1</v>
      </c>
      <c r="E7" s="25" t="s">
        <v>15</v>
      </c>
      <c r="F7" s="25">
        <v>23</v>
      </c>
    </row>
    <row r="8" spans="1:6">
      <c r="A8" s="8">
        <v>5</v>
      </c>
      <c r="B8" s="8" t="str">
        <f t="shared" si="0"/>
        <v>FCL40＋301丸形　埋込</v>
      </c>
      <c r="C8" s="25" t="s">
        <v>17</v>
      </c>
      <c r="D8" s="27">
        <v>1</v>
      </c>
      <c r="E8" s="25" t="s">
        <v>19</v>
      </c>
      <c r="F8" s="25">
        <v>70</v>
      </c>
    </row>
    <row r="9" spans="1:6">
      <c r="A9" s="8">
        <v>6</v>
      </c>
      <c r="B9" s="8" t="str">
        <f t="shared" si="0"/>
        <v>PIL7.2V20WS35E171非常灯(IEM20801)</v>
      </c>
      <c r="C9" s="25" t="s">
        <v>18</v>
      </c>
      <c r="D9" s="27">
        <v>1</v>
      </c>
      <c r="E9" s="25" t="s">
        <v>20</v>
      </c>
      <c r="F9" s="25">
        <v>20</v>
      </c>
    </row>
    <row r="10" spans="1:6">
      <c r="A10" s="8">
        <v>7</v>
      </c>
      <c r="B10" s="8" t="str">
        <f t="shared" si="0"/>
        <v>FL20W1誘導灯(FBK2107)</v>
      </c>
      <c r="C10" s="25" t="s">
        <v>76</v>
      </c>
      <c r="D10" s="27">
        <v>1</v>
      </c>
      <c r="E10" s="25" t="s">
        <v>21</v>
      </c>
      <c r="F10" s="25">
        <v>23</v>
      </c>
    </row>
    <row r="11" spans="1:6">
      <c r="A11" s="8">
        <v>8</v>
      </c>
      <c r="B11" s="8" t="str">
        <f t="shared" si="0"/>
        <v>FDL27W1ﾀﾞｳﾝﾗｲﾄ</v>
      </c>
      <c r="C11" s="25" t="s">
        <v>77</v>
      </c>
      <c r="D11" s="27">
        <v>1</v>
      </c>
      <c r="E11" s="25" t="s">
        <v>12</v>
      </c>
      <c r="F11" s="25">
        <v>32</v>
      </c>
    </row>
    <row r="12" spans="1:6">
      <c r="A12" s="8">
        <v>9</v>
      </c>
      <c r="B12" s="8" t="str">
        <f t="shared" si="0"/>
        <v>LED1ﾀﾞｳﾝﾗｲﾄ</v>
      </c>
      <c r="C12" s="25" t="s">
        <v>47</v>
      </c>
      <c r="D12" s="27">
        <v>1</v>
      </c>
      <c r="E12" s="25" t="s">
        <v>12</v>
      </c>
      <c r="F12" s="25">
        <v>16</v>
      </c>
    </row>
    <row r="13" spans="1:6">
      <c r="A13" s="8">
        <v>10</v>
      </c>
      <c r="B13" s="8" t="str">
        <f t="shared" si="0"/>
        <v>FL20W2V202 WP</v>
      </c>
      <c r="C13" s="25" t="s">
        <v>76</v>
      </c>
      <c r="D13" s="27">
        <v>2</v>
      </c>
      <c r="E13" s="25" t="s">
        <v>39</v>
      </c>
      <c r="F13" s="25">
        <v>45</v>
      </c>
    </row>
    <row r="14" spans="1:6">
      <c r="A14" s="8">
        <v>11</v>
      </c>
      <c r="B14" s="8" t="str">
        <f t="shared" si="0"/>
        <v>IL60W1ブラケット</v>
      </c>
      <c r="C14" s="25" t="s">
        <v>78</v>
      </c>
      <c r="D14" s="27">
        <v>1</v>
      </c>
      <c r="E14" s="25" t="s">
        <v>40</v>
      </c>
      <c r="F14" s="25">
        <v>60</v>
      </c>
    </row>
    <row r="15" spans="1:6">
      <c r="A15" s="8">
        <v>12</v>
      </c>
      <c r="B15" s="8" t="str">
        <f t="shared" si="0"/>
        <v>FLR40W1V401 WP SUS</v>
      </c>
      <c r="C15" s="25" t="s">
        <v>75</v>
      </c>
      <c r="D15" s="27">
        <v>1</v>
      </c>
      <c r="E15" s="25" t="s">
        <v>36</v>
      </c>
      <c r="F15" s="25">
        <v>45</v>
      </c>
    </row>
    <row r="16" spans="1:6">
      <c r="A16" s="8">
        <v>13</v>
      </c>
      <c r="B16" s="8" t="str">
        <f t="shared" si="0"/>
        <v>FLR40W2V402</v>
      </c>
      <c r="C16" s="25" t="s">
        <v>75</v>
      </c>
      <c r="D16" s="27">
        <v>2</v>
      </c>
      <c r="E16" s="25" t="s">
        <v>37</v>
      </c>
      <c r="F16" s="25">
        <v>85</v>
      </c>
    </row>
    <row r="17" spans="1:6">
      <c r="A17" s="8">
        <v>14</v>
      </c>
      <c r="B17" s="8" t="str">
        <f t="shared" si="0"/>
        <v>IL60W1ブラケット(IB3601)</v>
      </c>
      <c r="C17" s="25" t="s">
        <v>78</v>
      </c>
      <c r="D17" s="27">
        <v>1</v>
      </c>
      <c r="E17" s="25" t="s">
        <v>38</v>
      </c>
      <c r="F17" s="25">
        <v>60</v>
      </c>
    </row>
    <row r="18" spans="1:6">
      <c r="A18" s="8">
        <v>15</v>
      </c>
      <c r="B18" s="8" t="str">
        <f t="shared" si="0"/>
        <v>FL20W1ブラケット</v>
      </c>
      <c r="C18" s="25" t="s">
        <v>76</v>
      </c>
      <c r="D18" s="27">
        <v>1</v>
      </c>
      <c r="E18" s="25" t="s">
        <v>40</v>
      </c>
      <c r="F18" s="25">
        <v>23</v>
      </c>
    </row>
    <row r="19" spans="1:6">
      <c r="A19" s="8">
        <v>16</v>
      </c>
      <c r="B19" s="8" t="str">
        <f t="shared" si="0"/>
        <v>FDL18W1ブラケット</v>
      </c>
      <c r="C19" s="25" t="s">
        <v>74</v>
      </c>
      <c r="D19" s="27">
        <v>1</v>
      </c>
      <c r="E19" s="25" t="s">
        <v>40</v>
      </c>
      <c r="F19" s="25">
        <v>22</v>
      </c>
    </row>
    <row r="20" spans="1:6">
      <c r="A20" s="8">
        <v>17</v>
      </c>
      <c r="B20" s="8" t="str">
        <f t="shared" si="0"/>
        <v>PIL14.4V401非常灯(IEM40801)</v>
      </c>
      <c r="C20" s="25" t="s">
        <v>46</v>
      </c>
      <c r="D20" s="27">
        <v>1</v>
      </c>
      <c r="E20" s="25" t="s">
        <v>41</v>
      </c>
      <c r="F20" s="25">
        <v>40</v>
      </c>
    </row>
    <row r="21" spans="1:6">
      <c r="A21" s="8">
        <v>18</v>
      </c>
      <c r="B21" s="8" t="str">
        <f t="shared" si="0"/>
        <v>LED1非常灯</v>
      </c>
      <c r="C21" s="25" t="s">
        <v>47</v>
      </c>
      <c r="D21" s="27">
        <v>1</v>
      </c>
      <c r="E21" s="25" t="s">
        <v>48</v>
      </c>
      <c r="F21" s="25">
        <v>2</v>
      </c>
    </row>
    <row r="22" spans="1:6">
      <c r="A22" s="8">
        <v>19</v>
      </c>
      <c r="B22" s="8" t="str">
        <f t="shared" si="0"/>
        <v>FCL40W3丸形　埋込</v>
      </c>
      <c r="C22" s="25" t="s">
        <v>79</v>
      </c>
      <c r="D22" s="27">
        <v>3</v>
      </c>
      <c r="E22" s="25" t="s">
        <v>19</v>
      </c>
      <c r="F22" s="25">
        <v>44</v>
      </c>
    </row>
    <row r="23" spans="1:6">
      <c r="A23" s="8">
        <v>20</v>
      </c>
      <c r="B23" s="8" t="str">
        <f t="shared" si="0"/>
        <v>FL20W1誘導灯　両面</v>
      </c>
      <c r="C23" s="25" t="s">
        <v>76</v>
      </c>
      <c r="D23" s="27">
        <v>1</v>
      </c>
      <c r="E23" s="25" t="s">
        <v>42</v>
      </c>
      <c r="F23" s="25">
        <v>23</v>
      </c>
    </row>
    <row r="24" spans="1:6">
      <c r="A24" s="8">
        <v>21</v>
      </c>
      <c r="B24" s="8" t="str">
        <f t="shared" si="0"/>
        <v>FDL18W1ﾀﾞｳﾝﾗｲﾄ　WP</v>
      </c>
      <c r="C24" s="25" t="s">
        <v>74</v>
      </c>
      <c r="D24" s="27">
        <v>1</v>
      </c>
      <c r="E24" s="25" t="s">
        <v>10</v>
      </c>
      <c r="F24" s="25">
        <v>22</v>
      </c>
    </row>
    <row r="25" spans="1:6">
      <c r="A25" s="8">
        <v>22</v>
      </c>
      <c r="B25" s="8" t="str">
        <f t="shared" si="0"/>
        <v>BHGF100-110V100W/T1ブラケット</v>
      </c>
      <c r="C25" s="25" t="s">
        <v>45</v>
      </c>
      <c r="D25" s="27">
        <v>1</v>
      </c>
      <c r="E25" s="25" t="s">
        <v>40</v>
      </c>
      <c r="F25" s="25">
        <v>100</v>
      </c>
    </row>
    <row r="26" spans="1:6">
      <c r="A26" s="8">
        <v>23</v>
      </c>
      <c r="B26" s="8" t="str">
        <f t="shared" si="0"/>
        <v>MF10001投光器</v>
      </c>
      <c r="C26" s="25" t="s">
        <v>44</v>
      </c>
      <c r="D26" s="27">
        <v>1</v>
      </c>
      <c r="E26" s="25" t="s">
        <v>43</v>
      </c>
      <c r="F26" s="25">
        <v>1100</v>
      </c>
    </row>
    <row r="27" spans="1:6">
      <c r="A27" s="8">
        <v>24</v>
      </c>
      <c r="B27" s="8" t="str">
        <f t="shared" si="0"/>
        <v>FL20W2殺虫器</v>
      </c>
      <c r="C27" s="25" t="s">
        <v>76</v>
      </c>
      <c r="D27" s="27">
        <v>2</v>
      </c>
      <c r="E27" s="25" t="s">
        <v>72</v>
      </c>
      <c r="F27" s="25">
        <v>45</v>
      </c>
    </row>
  </sheetData>
  <autoFilter ref="A3:F27" xr:uid="{2682B705-907F-4E21-B1B8-33810E8345AE}"/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F72E-E2B4-4580-B5F9-B566548A512A}">
  <sheetPr>
    <tabColor rgb="FF00B050"/>
  </sheetPr>
  <dimension ref="A1:F15"/>
  <sheetViews>
    <sheetView zoomScale="115" zoomScaleNormal="115" workbookViewId="0">
      <selection activeCell="G15" sqref="G15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12" t="s">
        <v>113</v>
      </c>
      <c r="B1" s="6"/>
      <c r="C1" s="6"/>
      <c r="D1" s="6"/>
      <c r="E1" s="6"/>
      <c r="F1" s="6"/>
    </row>
    <row r="2" spans="1:6" ht="19.149999999999999">
      <c r="A2" s="13"/>
      <c r="B2" s="6"/>
      <c r="C2" s="6"/>
      <c r="D2" s="6"/>
      <c r="E2" s="6"/>
      <c r="F2" s="6"/>
    </row>
    <row r="3" spans="1:6" ht="21">
      <c r="A3" s="14" t="s">
        <v>85</v>
      </c>
      <c r="B3" s="14" t="s">
        <v>86</v>
      </c>
      <c r="C3" s="15" t="s">
        <v>87</v>
      </c>
      <c r="D3" s="15" t="s">
        <v>88</v>
      </c>
      <c r="E3" s="15" t="s">
        <v>89</v>
      </c>
      <c r="F3" s="14" t="s">
        <v>13</v>
      </c>
    </row>
    <row r="4" spans="1:6">
      <c r="A4" s="16" t="s">
        <v>118</v>
      </c>
      <c r="B4" s="17" t="s">
        <v>115</v>
      </c>
      <c r="C4" s="18">
        <v>16</v>
      </c>
      <c r="D4" s="16">
        <v>234</v>
      </c>
      <c r="E4" s="38">
        <f>ROUNDUP(C4*D4,0)</f>
        <v>3744</v>
      </c>
      <c r="F4" s="16"/>
    </row>
    <row r="5" spans="1:6">
      <c r="A5" s="16" t="s">
        <v>119</v>
      </c>
      <c r="B5" s="17" t="s">
        <v>120</v>
      </c>
      <c r="C5" s="18">
        <v>9</v>
      </c>
      <c r="D5" s="16">
        <v>82</v>
      </c>
      <c r="E5" s="38">
        <f t="shared" ref="E5:E15" si="0">ROUNDUP(C5*D5,0)</f>
        <v>738</v>
      </c>
      <c r="F5" s="16"/>
    </row>
    <row r="6" spans="1:6">
      <c r="A6" s="16" t="s">
        <v>90</v>
      </c>
      <c r="B6" s="17" t="s">
        <v>115</v>
      </c>
      <c r="C6" s="18">
        <v>16</v>
      </c>
      <c r="D6" s="16">
        <v>234</v>
      </c>
      <c r="E6" s="38">
        <f t="shared" si="0"/>
        <v>3744</v>
      </c>
      <c r="F6" s="16" t="s">
        <v>91</v>
      </c>
    </row>
    <row r="7" spans="1:6">
      <c r="A7" s="16" t="s">
        <v>92</v>
      </c>
      <c r="B7" s="17" t="s">
        <v>115</v>
      </c>
      <c r="C7" s="18">
        <v>4</v>
      </c>
      <c r="D7" s="16">
        <v>234</v>
      </c>
      <c r="E7" s="38">
        <f t="shared" si="0"/>
        <v>936</v>
      </c>
      <c r="F7" s="16"/>
    </row>
    <row r="8" spans="1:6">
      <c r="A8" s="16" t="s">
        <v>117</v>
      </c>
      <c r="B8" s="17" t="s">
        <v>115</v>
      </c>
      <c r="C8" s="18">
        <v>4</v>
      </c>
      <c r="D8" s="16">
        <v>234</v>
      </c>
      <c r="E8" s="38">
        <f t="shared" si="0"/>
        <v>936</v>
      </c>
      <c r="F8" s="16"/>
    </row>
    <row r="9" spans="1:6">
      <c r="A9" s="16" t="s">
        <v>93</v>
      </c>
      <c r="B9" s="17" t="s">
        <v>115</v>
      </c>
      <c r="C9" s="18">
        <v>16</v>
      </c>
      <c r="D9" s="16">
        <v>234</v>
      </c>
      <c r="E9" s="38">
        <f t="shared" si="0"/>
        <v>3744</v>
      </c>
      <c r="F9" s="16"/>
    </row>
    <row r="10" spans="1:6">
      <c r="A10" s="16" t="s">
        <v>94</v>
      </c>
      <c r="B10" s="17" t="s">
        <v>115</v>
      </c>
      <c r="C10" s="18">
        <v>1</v>
      </c>
      <c r="D10" s="16">
        <v>234</v>
      </c>
      <c r="E10" s="38">
        <f t="shared" si="0"/>
        <v>234</v>
      </c>
      <c r="F10" s="16"/>
    </row>
    <row r="11" spans="1:6">
      <c r="A11" s="16" t="s">
        <v>116</v>
      </c>
      <c r="B11" s="17" t="s">
        <v>115</v>
      </c>
      <c r="C11" s="18">
        <v>2</v>
      </c>
      <c r="D11" s="16">
        <v>234</v>
      </c>
      <c r="E11" s="38">
        <f t="shared" si="0"/>
        <v>468</v>
      </c>
      <c r="F11" s="16"/>
    </row>
    <row r="12" spans="1:6">
      <c r="A12" s="16" t="s">
        <v>121</v>
      </c>
      <c r="B12" s="17" t="s">
        <v>122</v>
      </c>
      <c r="C12" s="18">
        <v>5</v>
      </c>
      <c r="D12" s="16">
        <v>227</v>
      </c>
      <c r="E12" s="38">
        <f t="shared" si="0"/>
        <v>1135</v>
      </c>
      <c r="F12" s="16" t="s">
        <v>134</v>
      </c>
    </row>
    <row r="13" spans="1:6">
      <c r="A13" s="16" t="s">
        <v>125</v>
      </c>
      <c r="B13" s="17" t="s">
        <v>127</v>
      </c>
      <c r="C13" s="18">
        <v>24</v>
      </c>
      <c r="D13" s="16">
        <v>365</v>
      </c>
      <c r="E13" s="38">
        <f t="shared" si="0"/>
        <v>8760</v>
      </c>
      <c r="F13" s="16"/>
    </row>
    <row r="14" spans="1:6">
      <c r="A14" s="16" t="s">
        <v>126</v>
      </c>
      <c r="B14" s="17" t="s">
        <v>127</v>
      </c>
      <c r="C14" s="18">
        <v>0</v>
      </c>
      <c r="D14" s="16">
        <v>365</v>
      </c>
      <c r="E14" s="38">
        <f t="shared" si="0"/>
        <v>0</v>
      </c>
      <c r="F14" s="16"/>
    </row>
    <row r="15" spans="1:6">
      <c r="A15" s="16" t="s">
        <v>123</v>
      </c>
      <c r="B15" s="17" t="s">
        <v>122</v>
      </c>
      <c r="C15" s="18">
        <v>4.5</v>
      </c>
      <c r="D15" s="16">
        <v>365</v>
      </c>
      <c r="E15" s="38">
        <f t="shared" si="0"/>
        <v>1643</v>
      </c>
      <c r="F15" s="16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3A44-B024-43F3-BCFA-F7A4AA1DE31F}">
  <sheetPr>
    <tabColor rgb="FF00B050"/>
  </sheetPr>
  <dimension ref="A1:E13"/>
  <sheetViews>
    <sheetView tabSelected="1" workbookViewId="0">
      <selection activeCell="A13" sqref="A13:E13"/>
    </sheetView>
  </sheetViews>
  <sheetFormatPr defaultRowHeight="17.649999999999999"/>
  <cols>
    <col min="1" max="1" width="14.625" customWidth="1"/>
    <col min="2" max="5" width="17.5625" customWidth="1"/>
  </cols>
  <sheetData>
    <row r="1" spans="1:5" ht="21.4">
      <c r="A1" s="13" t="s">
        <v>112</v>
      </c>
      <c r="B1" s="10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8"/>
      <c r="B3" s="7" t="s">
        <v>100</v>
      </c>
      <c r="C3" s="7" t="s">
        <v>7</v>
      </c>
      <c r="D3" s="19" t="s">
        <v>101</v>
      </c>
      <c r="E3" s="11" t="s">
        <v>84</v>
      </c>
    </row>
    <row r="4" spans="1:5" ht="28.9">
      <c r="A4" s="20" t="s">
        <v>102</v>
      </c>
      <c r="B4" s="8">
        <f>SUMIFS(既設照明器具リスト!$J$4:$J$39,既設照明器具リスト!$B$4:$B$39,"■",既設照明器具リスト!$D$4:$D$39,"屋外",既設照明器具リスト!$E$4:$E$39,"&lt;&gt;誘導灯",既設照明器具リスト!$E$4:$E$39,"&lt;&gt;非常用照明")</f>
        <v>82</v>
      </c>
      <c r="C4" s="8">
        <f>SUMIFS(既設照明器具リスト!$J$4:$J$39,既設照明器具リスト!$B$4:$B$39,"■",既設照明器具リスト!$D$4:$D$39,"1F",既設照明器具リスト!$E$4:$E$39,"&lt;&gt;誘導灯",既設照明器具リスト!$E$4:$E$39,"&lt;&gt;非常用照明")</f>
        <v>37</v>
      </c>
      <c r="D4" s="22">
        <f>SUMIFS(既設照明器具リスト!$J$4:$J$39,既設照明器具リスト!$B$4:$B$39,"■",既設照明器具リスト!$D$4:$D$39,"2F",既設照明器具リスト!$E$4:$E$39,"&lt;&gt;誘導灯",既設照明器具リスト!$E$4:$E$39,"&lt;&gt;非常用照明")</f>
        <v>18</v>
      </c>
      <c r="E4" s="21">
        <f>SUM(B4:D4)</f>
        <v>137</v>
      </c>
    </row>
    <row r="5" spans="1:5" ht="28.9">
      <c r="A5" s="20" t="s">
        <v>103</v>
      </c>
      <c r="B5" s="8">
        <f>SUMIFS(既設照明器具リスト!$J$4:$J$39,既設照明器具リスト!$B$4:$B$39,"□",既設照明器具リスト!$D$4:$D$39,"屋外",既設照明器具リスト!$E$4:$E$39,"&lt;&gt;誘導灯",既設照明器具リスト!$E$4:$E$39,"&lt;&gt;非常用照明")</f>
        <v>16</v>
      </c>
      <c r="C5" s="8">
        <f>SUMIFS(既設照明器具リスト!$J$4:$J$39,既設照明器具リスト!$B$4:$B$39,"□",既設照明器具リスト!$D$4:$D$39,"1F",既設照明器具リスト!$E$4:$E$39,"&lt;&gt;誘導灯",既設照明器具リスト!$E$4:$E$39,"&lt;&gt;非常用照明")</f>
        <v>1</v>
      </c>
      <c r="D5" s="22">
        <f>SUMIFS(既設照明器具リスト!$J$4:$J$39,既設照明器具リスト!$B$4:$B$39,"□",既設照明器具リスト!$D$4:$D$39,"2F",既設照明器具リスト!$E$4:$E$39,"&lt;&gt;誘導灯",既設照明器具リスト!$E$4:$E$39,"&lt;&gt;非常用照明")</f>
        <v>0</v>
      </c>
      <c r="E5" s="21">
        <f t="shared" ref="E5:E9" si="0">SUM(B5:D5)</f>
        <v>17</v>
      </c>
    </row>
    <row r="6" spans="1:5" ht="28.9">
      <c r="A6" s="20" t="s">
        <v>104</v>
      </c>
      <c r="B6" s="8">
        <f>SUMIFS(既設照明器具リスト!$J$4:$J$39,既設照明器具リスト!$B$4:$B$39,"■",既設照明器具リスト!$D$4:$D$39,"屋外",既設照明器具リスト!$E$4:$E$39,"誘導灯")</f>
        <v>0</v>
      </c>
      <c r="C6" s="8">
        <f>SUMIFS(既設照明器具リスト!$J$4:$J$39,既設照明器具リスト!$B$4:$B$39,"■",既設照明器具リスト!$D$4:$D$39,"1F",既設照明器具リスト!$E$4:$E$39,"誘導灯")</f>
        <v>1</v>
      </c>
      <c r="D6" s="22">
        <f>SUMIFS(既設照明器具リスト!$J$4:$J$39,既設照明器具リスト!$B$4:$B$39,"■",既設照明器具リスト!$D$4:$D$39,"2F",既設照明器具リスト!$E$4:$E$39,"誘導灯")</f>
        <v>2</v>
      </c>
      <c r="E6" s="21">
        <f t="shared" si="0"/>
        <v>3</v>
      </c>
    </row>
    <row r="7" spans="1:5" ht="28.9">
      <c r="A7" s="20" t="s">
        <v>132</v>
      </c>
      <c r="B7" s="8">
        <f>SUMIFS(既設照明器具リスト!$J$4:$J$39,既設照明器具リスト!$B$4:$B$39,"□",既設照明器具リスト!$D$4:$D$39,"屋外",既設照明器具リスト!$E$4:$E$39,"誘導灯")</f>
        <v>0</v>
      </c>
      <c r="C7" s="8">
        <f>SUMIFS(既設照明器具リスト!$J$4:$J$39,既設照明器具リスト!$B$4:$B$39,"□",既設照明器具リスト!$D$4:$D$39,"1F",既設照明器具リスト!$E$4:$E$39,"誘導灯")</f>
        <v>0</v>
      </c>
      <c r="D7" s="22">
        <f>SUMIFS(既設照明器具リスト!$J$4:$J$39,既設照明器具リスト!$B$4:$B$39,"□",既設照明器具リスト!$D$4:$D$39,"2F",既設照明器具リスト!$E$4:$E$39,"誘導灯")</f>
        <v>0</v>
      </c>
      <c r="E7" s="21">
        <f t="shared" si="0"/>
        <v>0</v>
      </c>
    </row>
    <row r="8" spans="1:5" ht="28.9">
      <c r="A8" s="20" t="s">
        <v>105</v>
      </c>
      <c r="B8" s="8">
        <f>SUMIFS(既設照明器具リスト!$J$4:$J$39,既設照明器具リスト!$B$4:$B$39,"■",既設照明器具リスト!$D$4:$D$39,"屋外",既設照明器具リスト!$E$4:$E$39,"非常用照明")</f>
        <v>0</v>
      </c>
      <c r="C8" s="8">
        <f>SUMIFS(既設照明器具リスト!$J$4:$J$39,既設照明器具リスト!$B$4:$B$39,"■",既設照明器具リスト!$D$4:$D$39,"1F",既設照明器具リスト!$E$4:$E$39,"非常用照明")</f>
        <v>3</v>
      </c>
      <c r="D8" s="22">
        <f>SUMIFS(既設照明器具リスト!$J$4:$J$39,既設照明器具リスト!$B$4:$B$39,"■",既設照明器具リスト!$D$4:$D$39,"2F",既設照明器具リスト!$E$4:$E$39,"非常用照明")</f>
        <v>1</v>
      </c>
      <c r="E8" s="21">
        <f t="shared" si="0"/>
        <v>4</v>
      </c>
    </row>
    <row r="9" spans="1:5" ht="29.25" thickBot="1">
      <c r="A9" s="23" t="s">
        <v>133</v>
      </c>
      <c r="B9" s="33">
        <f>SUMIFS(既設照明器具リスト!$J$4:$J$39,既設照明器具リスト!$B$4:$B$39,"□",既設照明器具リスト!$D$4:$D$39,"屋外",既設照明器具リスト!$E$4:$E$39,"非常用照明")</f>
        <v>0</v>
      </c>
      <c r="C9" s="33">
        <f>SUMIFS(既設照明器具リスト!$J$4:$J$39,既設照明器具リスト!$B$4:$B$39,"□",既設照明器具リスト!$D$4:$D$39,"1F",既設照明器具リスト!$E$4:$E$39,"非常用照明")</f>
        <v>0</v>
      </c>
      <c r="D9" s="35">
        <f>SUMIFS(既設照明器具リスト!$J$4:$J$39,既設照明器具リスト!$B$4:$B$39,"□",既設照明器具リスト!$D$4:$D$39,"2F",既設照明器具リスト!$E$4:$E$39,"非常用照明")</f>
        <v>1</v>
      </c>
      <c r="E9" s="28">
        <f t="shared" si="0"/>
        <v>1</v>
      </c>
    </row>
    <row r="10" spans="1:5" ht="29.25" thickTop="1">
      <c r="A10" s="31" t="s">
        <v>129</v>
      </c>
      <c r="B10" s="32">
        <f>B4+B6+B8</f>
        <v>82</v>
      </c>
      <c r="C10" s="32">
        <f t="shared" ref="C10:E10" si="1">C4+C6+C8</f>
        <v>41</v>
      </c>
      <c r="D10" s="36">
        <f t="shared" si="1"/>
        <v>21</v>
      </c>
      <c r="E10" s="34">
        <f t="shared" si="1"/>
        <v>144</v>
      </c>
    </row>
    <row r="11" spans="1:5" ht="28.9">
      <c r="A11" s="20" t="s">
        <v>130</v>
      </c>
      <c r="B11" s="29">
        <f>B5+B7+B9</f>
        <v>16</v>
      </c>
      <c r="C11" s="29">
        <f t="shared" ref="C11:E11" si="2">C5+C7+C9</f>
        <v>1</v>
      </c>
      <c r="D11" s="37">
        <f t="shared" si="2"/>
        <v>1</v>
      </c>
      <c r="E11" s="21">
        <f t="shared" si="2"/>
        <v>18</v>
      </c>
    </row>
    <row r="12" spans="1:5" ht="29" customHeight="1">
      <c r="A12" s="30" t="s">
        <v>131</v>
      </c>
      <c r="B12" s="29">
        <f>SUM(B4:B9)</f>
        <v>98</v>
      </c>
      <c r="C12" s="29">
        <f t="shared" ref="C12:E12" si="3">SUM(C4:C9)</f>
        <v>42</v>
      </c>
      <c r="D12" s="37">
        <f t="shared" si="3"/>
        <v>22</v>
      </c>
      <c r="E12" s="21">
        <f t="shared" si="3"/>
        <v>162</v>
      </c>
    </row>
    <row r="13" spans="1:5" ht="31.9" customHeight="1">
      <c r="A13" s="43" t="s">
        <v>137</v>
      </c>
      <c r="B13" s="43"/>
      <c r="C13" s="43"/>
      <c r="D13" s="43"/>
      <c r="E13" s="43"/>
    </row>
  </sheetData>
  <mergeCells count="1">
    <mergeCell ref="A13:E13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4506-A4B8-4DA4-A606-2785365E7245}">
  <sheetPr>
    <tabColor rgb="FF00B050"/>
  </sheetPr>
  <dimension ref="A1:O40"/>
  <sheetViews>
    <sheetView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38" sqref="O38"/>
    </sheetView>
  </sheetViews>
  <sheetFormatPr defaultRowHeight="17.649999999999999"/>
  <cols>
    <col min="1" max="2" width="6.5625" customWidth="1"/>
    <col min="3" max="3" width="9.6875" customWidth="1"/>
    <col min="4" max="4" width="4.5625" customWidth="1"/>
    <col min="5" max="5" width="25.5625" customWidth="1"/>
    <col min="6" max="6" width="26.8125" customWidth="1"/>
    <col min="7" max="7" width="20.75" customWidth="1"/>
    <col min="8" max="8" width="4.8125" customWidth="1"/>
    <col min="9" max="9" width="27.8125" customWidth="1"/>
    <col min="10" max="10" width="4.625" customWidth="1"/>
    <col min="11" max="11" width="10.4375" customWidth="1"/>
    <col min="12" max="12" width="12" hidden="1" customWidth="1"/>
    <col min="13" max="13" width="10.4375" customWidth="1"/>
    <col min="15" max="15" width="14.375" style="39" customWidth="1"/>
  </cols>
  <sheetData>
    <row r="1" spans="1:15" ht="21.4">
      <c r="A1" s="10" t="s">
        <v>136</v>
      </c>
      <c r="B1" s="10"/>
    </row>
    <row r="3" spans="1:15" ht="28.9">
      <c r="A3" s="7" t="s">
        <v>0</v>
      </c>
      <c r="B3" s="20" t="s">
        <v>106</v>
      </c>
      <c r="C3" s="7" t="s">
        <v>80</v>
      </c>
      <c r="D3" s="7" t="s">
        <v>1</v>
      </c>
      <c r="E3" s="7" t="s">
        <v>114</v>
      </c>
      <c r="F3" s="7" t="s">
        <v>73</v>
      </c>
      <c r="G3" s="7" t="s">
        <v>2</v>
      </c>
      <c r="H3" s="7" t="s">
        <v>3</v>
      </c>
      <c r="I3" s="7" t="s">
        <v>5</v>
      </c>
      <c r="J3" s="7" t="s">
        <v>4</v>
      </c>
      <c r="K3" s="20" t="s">
        <v>107</v>
      </c>
      <c r="L3" s="7" t="s">
        <v>96</v>
      </c>
      <c r="M3" s="20" t="s">
        <v>108</v>
      </c>
      <c r="N3" s="7" t="s">
        <v>109</v>
      </c>
      <c r="O3" s="40" t="s">
        <v>124</v>
      </c>
    </row>
    <row r="4" spans="1:15">
      <c r="A4" s="25">
        <v>1</v>
      </c>
      <c r="B4" s="26" t="s">
        <v>111</v>
      </c>
      <c r="C4" s="2" t="s">
        <v>52</v>
      </c>
      <c r="D4" s="2" t="s">
        <v>7</v>
      </c>
      <c r="E4" s="25" t="s">
        <v>90</v>
      </c>
      <c r="F4" s="2" t="s">
        <v>8</v>
      </c>
      <c r="G4" s="2" t="s">
        <v>74</v>
      </c>
      <c r="H4" s="3">
        <v>1</v>
      </c>
      <c r="I4" s="2" t="s">
        <v>11</v>
      </c>
      <c r="J4" s="1">
        <v>2</v>
      </c>
      <c r="K4" s="24" cm="1">
        <f t="array" ref="K4:K39">VLOOKUP($E$4:$E$39,照明設備稼働時間!$A$4:$E$15,5,FALSE)</f>
        <v>3744</v>
      </c>
      <c r="L4" s="24" t="str">
        <f>G4&amp;H4&amp;I4</f>
        <v>FDL18W1ﾀﾞｳﾝﾗｲﾄ WP</v>
      </c>
      <c r="M4" s="24" cm="1">
        <f t="array" ref="M4:M39">VLOOKUP(L4:L39,照明器具一覧!B4:F27,5,FALSE)</f>
        <v>22</v>
      </c>
      <c r="N4" s="8">
        <v>1</v>
      </c>
      <c r="O4" s="41">
        <f>(J4*K4*M4*N4)/1000</f>
        <v>164.73599999999999</v>
      </c>
    </row>
    <row r="5" spans="1:15">
      <c r="A5" s="25">
        <v>2</v>
      </c>
      <c r="B5" s="26" t="s">
        <v>111</v>
      </c>
      <c r="C5" s="2" t="s">
        <v>53</v>
      </c>
      <c r="D5" s="2" t="s">
        <v>7</v>
      </c>
      <c r="E5" s="25" t="s">
        <v>90</v>
      </c>
      <c r="F5" s="2" t="s">
        <v>8</v>
      </c>
      <c r="G5" s="2" t="s">
        <v>74</v>
      </c>
      <c r="H5" s="3">
        <v>1</v>
      </c>
      <c r="I5" s="2" t="s">
        <v>12</v>
      </c>
      <c r="J5" s="1">
        <v>2</v>
      </c>
      <c r="K5" s="24">
        <v>3744</v>
      </c>
      <c r="L5" s="24" t="str">
        <f t="shared" ref="L5:L39" si="0">G5&amp;H5&amp;I5</f>
        <v>FDL18W1ﾀﾞｳﾝﾗｲﾄ</v>
      </c>
      <c r="M5" s="24">
        <v>22</v>
      </c>
      <c r="N5" s="8">
        <v>1</v>
      </c>
      <c r="O5" s="41">
        <f t="shared" ref="O5:O39" si="1">(J5*K5*M5*N5)/1000</f>
        <v>164.73599999999999</v>
      </c>
    </row>
    <row r="6" spans="1:15">
      <c r="A6" s="25">
        <v>3</v>
      </c>
      <c r="B6" s="26" t="s">
        <v>111</v>
      </c>
      <c r="C6" s="2" t="s">
        <v>54</v>
      </c>
      <c r="D6" s="2" t="s">
        <v>6</v>
      </c>
      <c r="E6" s="25" t="s">
        <v>116</v>
      </c>
      <c r="F6" s="2" t="s">
        <v>9</v>
      </c>
      <c r="G6" s="2" t="s">
        <v>75</v>
      </c>
      <c r="H6" s="3">
        <v>1</v>
      </c>
      <c r="I6" s="2" t="s">
        <v>14</v>
      </c>
      <c r="J6" s="1">
        <v>3</v>
      </c>
      <c r="K6" s="24">
        <v>468</v>
      </c>
      <c r="L6" s="24" t="str">
        <f t="shared" si="0"/>
        <v>FLR40W1V401</v>
      </c>
      <c r="M6" s="24">
        <v>45</v>
      </c>
      <c r="N6" s="8">
        <v>0.33</v>
      </c>
      <c r="O6" s="41">
        <f t="shared" si="1"/>
        <v>20.849400000000003</v>
      </c>
    </row>
    <row r="7" spans="1:15">
      <c r="A7" s="25">
        <v>4</v>
      </c>
      <c r="B7" s="26" t="s">
        <v>111</v>
      </c>
      <c r="C7" s="2" t="s">
        <v>55</v>
      </c>
      <c r="D7" s="2" t="s">
        <v>6</v>
      </c>
      <c r="E7" s="25" t="s">
        <v>116</v>
      </c>
      <c r="F7" s="2" t="s">
        <v>9</v>
      </c>
      <c r="G7" s="2" t="s">
        <v>76</v>
      </c>
      <c r="H7" s="3">
        <v>1</v>
      </c>
      <c r="I7" s="2" t="s">
        <v>15</v>
      </c>
      <c r="J7" s="1">
        <v>1</v>
      </c>
      <c r="K7" s="24">
        <v>468</v>
      </c>
      <c r="L7" s="24" t="str">
        <f t="shared" si="0"/>
        <v>FL20W1V201</v>
      </c>
      <c r="M7" s="24">
        <v>23</v>
      </c>
      <c r="N7" s="8">
        <v>1</v>
      </c>
      <c r="O7" s="41">
        <f t="shared" si="1"/>
        <v>10.763999999999999</v>
      </c>
    </row>
    <row r="8" spans="1:15">
      <c r="A8" s="25">
        <v>5</v>
      </c>
      <c r="B8" s="26" t="s">
        <v>111</v>
      </c>
      <c r="C8" s="2" t="s">
        <v>56</v>
      </c>
      <c r="D8" s="2" t="s">
        <v>6</v>
      </c>
      <c r="E8" s="25" t="s">
        <v>90</v>
      </c>
      <c r="F8" s="2" t="s">
        <v>16</v>
      </c>
      <c r="G8" s="2" t="s">
        <v>17</v>
      </c>
      <c r="H8" s="3">
        <v>1</v>
      </c>
      <c r="I8" s="2" t="s">
        <v>19</v>
      </c>
      <c r="J8" s="2">
        <v>2</v>
      </c>
      <c r="K8" s="24">
        <v>3744</v>
      </c>
      <c r="L8" s="24" t="str">
        <f t="shared" si="0"/>
        <v>FCL40＋301丸形　埋込</v>
      </c>
      <c r="M8" s="24">
        <v>70</v>
      </c>
      <c r="N8" s="8">
        <v>1</v>
      </c>
      <c r="O8" s="41">
        <f t="shared" si="1"/>
        <v>524.16</v>
      </c>
    </row>
    <row r="9" spans="1:15">
      <c r="A9" s="25">
        <v>6</v>
      </c>
      <c r="B9" s="26" t="s">
        <v>111</v>
      </c>
      <c r="C9" s="2" t="s">
        <v>57</v>
      </c>
      <c r="D9" s="2" t="s">
        <v>6</v>
      </c>
      <c r="E9" s="25" t="s">
        <v>126</v>
      </c>
      <c r="F9" s="2" t="s">
        <v>16</v>
      </c>
      <c r="G9" s="2" t="s">
        <v>18</v>
      </c>
      <c r="H9" s="3">
        <v>1</v>
      </c>
      <c r="I9" s="2" t="s">
        <v>20</v>
      </c>
      <c r="J9" s="2">
        <v>1</v>
      </c>
      <c r="K9" s="24">
        <v>0</v>
      </c>
      <c r="L9" s="24" t="str">
        <f t="shared" si="0"/>
        <v>PIL7.2V20WS35E171非常灯(IEM20801)</v>
      </c>
      <c r="M9" s="24">
        <v>20</v>
      </c>
      <c r="N9" s="8">
        <v>1</v>
      </c>
      <c r="O9" s="41">
        <f t="shared" si="1"/>
        <v>0</v>
      </c>
    </row>
    <row r="10" spans="1:15">
      <c r="A10" s="25">
        <v>7</v>
      </c>
      <c r="B10" s="26" t="s">
        <v>111</v>
      </c>
      <c r="C10" s="2" t="s">
        <v>58</v>
      </c>
      <c r="D10" s="2" t="s">
        <v>6</v>
      </c>
      <c r="E10" s="25" t="s">
        <v>125</v>
      </c>
      <c r="F10" s="2" t="s">
        <v>16</v>
      </c>
      <c r="G10" s="2" t="s">
        <v>76</v>
      </c>
      <c r="H10" s="3">
        <v>1</v>
      </c>
      <c r="I10" s="2" t="s">
        <v>21</v>
      </c>
      <c r="J10" s="2">
        <v>1</v>
      </c>
      <c r="K10" s="24">
        <v>8760</v>
      </c>
      <c r="L10" s="24" t="str">
        <f t="shared" si="0"/>
        <v>FL20W1誘導灯(FBK2107)</v>
      </c>
      <c r="M10" s="24">
        <v>23</v>
      </c>
      <c r="N10" s="8">
        <v>1</v>
      </c>
      <c r="O10" s="41">
        <f t="shared" si="1"/>
        <v>201.48</v>
      </c>
    </row>
    <row r="11" spans="1:15">
      <c r="A11" s="25">
        <v>8</v>
      </c>
      <c r="B11" s="26" t="s">
        <v>111</v>
      </c>
      <c r="C11" s="2" t="s">
        <v>59</v>
      </c>
      <c r="D11" s="2" t="s">
        <v>6</v>
      </c>
      <c r="E11" s="25" t="s">
        <v>90</v>
      </c>
      <c r="F11" s="2" t="s">
        <v>22</v>
      </c>
      <c r="G11" s="2" t="s">
        <v>77</v>
      </c>
      <c r="H11" s="3">
        <v>1</v>
      </c>
      <c r="I11" s="2" t="s">
        <v>12</v>
      </c>
      <c r="J11" s="2">
        <v>5</v>
      </c>
      <c r="K11" s="24">
        <v>3744</v>
      </c>
      <c r="L11" s="24" t="str">
        <f t="shared" si="0"/>
        <v>FDL27W1ﾀﾞｳﾝﾗｲﾄ</v>
      </c>
      <c r="M11" s="24">
        <v>32</v>
      </c>
      <c r="N11" s="8">
        <v>1</v>
      </c>
      <c r="O11" s="41">
        <f t="shared" si="1"/>
        <v>599.04</v>
      </c>
    </row>
    <row r="12" spans="1:15">
      <c r="A12" s="25">
        <v>9</v>
      </c>
      <c r="B12" s="26" t="s">
        <v>110</v>
      </c>
      <c r="C12" s="2" t="s">
        <v>60</v>
      </c>
      <c r="D12" s="2" t="s">
        <v>6</v>
      </c>
      <c r="E12" s="25" t="s">
        <v>90</v>
      </c>
      <c r="F12" s="2" t="s">
        <v>22</v>
      </c>
      <c r="G12" s="2" t="s">
        <v>47</v>
      </c>
      <c r="H12" s="3">
        <v>1</v>
      </c>
      <c r="I12" s="2" t="s">
        <v>12</v>
      </c>
      <c r="J12" s="2">
        <v>1</v>
      </c>
      <c r="K12" s="24">
        <v>3744</v>
      </c>
      <c r="L12" s="24" t="str">
        <f t="shared" si="0"/>
        <v>LED1ﾀﾞｳﾝﾗｲﾄ</v>
      </c>
      <c r="M12" s="24">
        <v>16</v>
      </c>
      <c r="N12" s="8">
        <v>1</v>
      </c>
      <c r="O12" s="41">
        <f t="shared" si="1"/>
        <v>59.904000000000003</v>
      </c>
    </row>
    <row r="13" spans="1:15">
      <c r="A13" s="25">
        <v>10</v>
      </c>
      <c r="B13" s="26" t="s">
        <v>111</v>
      </c>
      <c r="C13" s="2" t="s">
        <v>52</v>
      </c>
      <c r="D13" s="2" t="s">
        <v>6</v>
      </c>
      <c r="E13" s="25" t="s">
        <v>90</v>
      </c>
      <c r="F13" s="2" t="s">
        <v>22</v>
      </c>
      <c r="G13" s="2" t="s">
        <v>74</v>
      </c>
      <c r="H13" s="3">
        <v>1</v>
      </c>
      <c r="I13" s="2" t="s">
        <v>11</v>
      </c>
      <c r="J13" s="2">
        <v>2</v>
      </c>
      <c r="K13" s="24">
        <v>3744</v>
      </c>
      <c r="L13" s="24" t="str">
        <f t="shared" si="0"/>
        <v>FDL18W1ﾀﾞｳﾝﾗｲﾄ WP</v>
      </c>
      <c r="M13" s="24">
        <v>22</v>
      </c>
      <c r="N13" s="8">
        <v>1</v>
      </c>
      <c r="O13" s="41">
        <f t="shared" si="1"/>
        <v>164.73599999999999</v>
      </c>
    </row>
    <row r="14" spans="1:15">
      <c r="A14" s="25">
        <v>11</v>
      </c>
      <c r="B14" s="26" t="s">
        <v>111</v>
      </c>
      <c r="C14" s="2" t="s">
        <v>57</v>
      </c>
      <c r="D14" s="2" t="s">
        <v>6</v>
      </c>
      <c r="E14" s="25" t="s">
        <v>126</v>
      </c>
      <c r="F14" s="2" t="s">
        <v>22</v>
      </c>
      <c r="G14" s="2" t="s">
        <v>18</v>
      </c>
      <c r="H14" s="3">
        <v>1</v>
      </c>
      <c r="I14" s="2" t="s">
        <v>20</v>
      </c>
      <c r="J14" s="2">
        <v>2</v>
      </c>
      <c r="K14" s="24">
        <v>0</v>
      </c>
      <c r="L14" s="24" t="str">
        <f t="shared" si="0"/>
        <v>PIL7.2V20WS35E171非常灯(IEM20801)</v>
      </c>
      <c r="M14" s="24">
        <v>20</v>
      </c>
      <c r="N14" s="8">
        <v>1</v>
      </c>
      <c r="O14" s="41">
        <f t="shared" si="1"/>
        <v>0</v>
      </c>
    </row>
    <row r="15" spans="1:15">
      <c r="A15" s="25">
        <v>12</v>
      </c>
      <c r="B15" s="26" t="s">
        <v>111</v>
      </c>
      <c r="C15" s="2" t="s">
        <v>61</v>
      </c>
      <c r="D15" s="2" t="s">
        <v>6</v>
      </c>
      <c r="E15" s="25" t="s">
        <v>117</v>
      </c>
      <c r="F15" s="2" t="s">
        <v>49</v>
      </c>
      <c r="G15" s="2" t="s">
        <v>76</v>
      </c>
      <c r="H15" s="3">
        <v>2</v>
      </c>
      <c r="I15" s="2" t="s">
        <v>39</v>
      </c>
      <c r="J15" s="2">
        <v>1</v>
      </c>
      <c r="K15" s="24">
        <v>936</v>
      </c>
      <c r="L15" s="24" t="str">
        <f t="shared" si="0"/>
        <v>FL20W2V202 WP</v>
      </c>
      <c r="M15" s="24">
        <v>45</v>
      </c>
      <c r="N15" s="8">
        <v>1</v>
      </c>
      <c r="O15" s="41">
        <f t="shared" si="1"/>
        <v>42.12</v>
      </c>
    </row>
    <row r="16" spans="1:15">
      <c r="A16" s="25">
        <v>13</v>
      </c>
      <c r="B16" s="26" t="s">
        <v>111</v>
      </c>
      <c r="C16" s="2"/>
      <c r="D16" s="2" t="s">
        <v>6</v>
      </c>
      <c r="E16" s="25" t="s">
        <v>117</v>
      </c>
      <c r="F16" s="2" t="s">
        <v>49</v>
      </c>
      <c r="G16" s="2" t="s">
        <v>78</v>
      </c>
      <c r="H16" s="3">
        <v>1</v>
      </c>
      <c r="I16" s="2" t="s">
        <v>40</v>
      </c>
      <c r="J16" s="2">
        <v>1</v>
      </c>
      <c r="K16" s="24">
        <v>936</v>
      </c>
      <c r="L16" s="24" t="str">
        <f t="shared" si="0"/>
        <v>IL60W1ブラケット</v>
      </c>
      <c r="M16" s="24">
        <v>60</v>
      </c>
      <c r="N16" s="8">
        <v>1</v>
      </c>
      <c r="O16" s="41">
        <f t="shared" si="1"/>
        <v>56.16</v>
      </c>
    </row>
    <row r="17" spans="1:15">
      <c r="A17" s="25">
        <v>14</v>
      </c>
      <c r="B17" s="26" t="s">
        <v>111</v>
      </c>
      <c r="C17" s="2" t="s">
        <v>62</v>
      </c>
      <c r="D17" s="2" t="s">
        <v>6</v>
      </c>
      <c r="E17" s="25" t="s">
        <v>92</v>
      </c>
      <c r="F17" s="2" t="s">
        <v>50</v>
      </c>
      <c r="G17" s="2" t="s">
        <v>75</v>
      </c>
      <c r="H17" s="3">
        <v>1</v>
      </c>
      <c r="I17" s="2" t="s">
        <v>36</v>
      </c>
      <c r="J17" s="2">
        <v>1</v>
      </c>
      <c r="K17" s="24">
        <v>936</v>
      </c>
      <c r="L17" s="24" t="str">
        <f t="shared" si="0"/>
        <v>FLR40W1V401 WP SUS</v>
      </c>
      <c r="M17" s="24">
        <v>45</v>
      </c>
      <c r="N17" s="8">
        <v>1</v>
      </c>
      <c r="O17" s="41">
        <f t="shared" si="1"/>
        <v>42.12</v>
      </c>
    </row>
    <row r="18" spans="1:15">
      <c r="A18" s="25">
        <v>15</v>
      </c>
      <c r="B18" s="26" t="s">
        <v>111</v>
      </c>
      <c r="C18" s="2" t="s">
        <v>63</v>
      </c>
      <c r="D18" s="2" t="s">
        <v>6</v>
      </c>
      <c r="E18" s="25" t="s">
        <v>93</v>
      </c>
      <c r="F18" s="2" t="s">
        <v>23</v>
      </c>
      <c r="G18" s="2" t="s">
        <v>75</v>
      </c>
      <c r="H18" s="3">
        <v>2</v>
      </c>
      <c r="I18" s="2" t="s">
        <v>37</v>
      </c>
      <c r="J18" s="2">
        <v>2</v>
      </c>
      <c r="K18" s="24">
        <v>3744</v>
      </c>
      <c r="L18" s="24" t="str">
        <f t="shared" si="0"/>
        <v>FLR40W2V402</v>
      </c>
      <c r="M18" s="24">
        <v>85</v>
      </c>
      <c r="N18" s="8">
        <v>1</v>
      </c>
      <c r="O18" s="41">
        <f t="shared" si="1"/>
        <v>636.48</v>
      </c>
    </row>
    <row r="19" spans="1:15">
      <c r="A19" s="25">
        <v>16</v>
      </c>
      <c r="B19" s="26" t="s">
        <v>111</v>
      </c>
      <c r="C19" s="2" t="s">
        <v>64</v>
      </c>
      <c r="D19" s="2" t="s">
        <v>6</v>
      </c>
      <c r="E19" s="25" t="s">
        <v>93</v>
      </c>
      <c r="F19" s="2" t="s">
        <v>23</v>
      </c>
      <c r="G19" s="2" t="s">
        <v>78</v>
      </c>
      <c r="H19" s="3">
        <v>1</v>
      </c>
      <c r="I19" s="2" t="s">
        <v>38</v>
      </c>
      <c r="J19" s="2">
        <v>2</v>
      </c>
      <c r="K19" s="24">
        <v>3744</v>
      </c>
      <c r="L19" s="24" t="str">
        <f t="shared" si="0"/>
        <v>IL60W1ブラケット(IB3601)</v>
      </c>
      <c r="M19" s="24">
        <v>60</v>
      </c>
      <c r="N19" s="8">
        <v>1</v>
      </c>
      <c r="O19" s="41">
        <f t="shared" si="1"/>
        <v>449.28</v>
      </c>
    </row>
    <row r="20" spans="1:15">
      <c r="A20" s="25">
        <v>17</v>
      </c>
      <c r="B20" s="26" t="s">
        <v>111</v>
      </c>
      <c r="C20" s="2" t="s">
        <v>62</v>
      </c>
      <c r="D20" s="2" t="s">
        <v>6</v>
      </c>
      <c r="E20" s="25" t="s">
        <v>92</v>
      </c>
      <c r="F20" s="2" t="s">
        <v>24</v>
      </c>
      <c r="G20" s="2" t="s">
        <v>75</v>
      </c>
      <c r="H20" s="3">
        <v>1</v>
      </c>
      <c r="I20" s="2" t="s">
        <v>36</v>
      </c>
      <c r="J20" s="2">
        <v>1</v>
      </c>
      <c r="K20" s="24">
        <v>936</v>
      </c>
      <c r="L20" s="24" t="str">
        <f t="shared" si="0"/>
        <v>FLR40W1V401 WP SUS</v>
      </c>
      <c r="M20" s="24">
        <v>45</v>
      </c>
      <c r="N20" s="8">
        <v>1</v>
      </c>
      <c r="O20" s="41">
        <f t="shared" si="1"/>
        <v>42.12</v>
      </c>
    </row>
    <row r="21" spans="1:15">
      <c r="A21" s="25">
        <v>18</v>
      </c>
      <c r="B21" s="26" t="s">
        <v>111</v>
      </c>
      <c r="C21" s="2" t="s">
        <v>62</v>
      </c>
      <c r="D21" s="2" t="s">
        <v>6</v>
      </c>
      <c r="E21" s="25" t="s">
        <v>92</v>
      </c>
      <c r="F21" s="2" t="s">
        <v>25</v>
      </c>
      <c r="G21" s="2" t="s">
        <v>75</v>
      </c>
      <c r="H21" s="3">
        <v>1</v>
      </c>
      <c r="I21" s="2" t="s">
        <v>36</v>
      </c>
      <c r="J21" s="2">
        <v>1</v>
      </c>
      <c r="K21" s="24">
        <v>936</v>
      </c>
      <c r="L21" s="24" t="str">
        <f t="shared" si="0"/>
        <v>FLR40W1V401 WP SUS</v>
      </c>
      <c r="M21" s="24">
        <v>45</v>
      </c>
      <c r="N21" s="8">
        <v>1</v>
      </c>
      <c r="O21" s="41">
        <f t="shared" si="1"/>
        <v>42.12</v>
      </c>
    </row>
    <row r="22" spans="1:15">
      <c r="A22" s="25">
        <v>19</v>
      </c>
      <c r="B22" s="26" t="s">
        <v>111</v>
      </c>
      <c r="C22" s="2" t="s">
        <v>63</v>
      </c>
      <c r="D22" s="2" t="s">
        <v>6</v>
      </c>
      <c r="E22" s="25" t="s">
        <v>93</v>
      </c>
      <c r="F22" s="2" t="s">
        <v>26</v>
      </c>
      <c r="G22" s="2" t="s">
        <v>75</v>
      </c>
      <c r="H22" s="3">
        <v>2</v>
      </c>
      <c r="I22" s="2" t="s">
        <v>37</v>
      </c>
      <c r="J22" s="2">
        <v>2</v>
      </c>
      <c r="K22" s="24">
        <v>3744</v>
      </c>
      <c r="L22" s="24" t="str">
        <f t="shared" si="0"/>
        <v>FLR40W2V402</v>
      </c>
      <c r="M22" s="24">
        <v>85</v>
      </c>
      <c r="N22" s="8">
        <v>1</v>
      </c>
      <c r="O22" s="41">
        <f t="shared" si="1"/>
        <v>636.48</v>
      </c>
    </row>
    <row r="23" spans="1:15">
      <c r="A23" s="25">
        <v>20</v>
      </c>
      <c r="B23" s="26" t="s">
        <v>111</v>
      </c>
      <c r="C23" s="2" t="s">
        <v>64</v>
      </c>
      <c r="D23" s="2" t="s">
        <v>6</v>
      </c>
      <c r="E23" s="25" t="s">
        <v>93</v>
      </c>
      <c r="F23" s="2" t="s">
        <v>26</v>
      </c>
      <c r="G23" s="2" t="s">
        <v>78</v>
      </c>
      <c r="H23" s="3">
        <v>1</v>
      </c>
      <c r="I23" s="2" t="s">
        <v>38</v>
      </c>
      <c r="J23" s="2">
        <v>2</v>
      </c>
      <c r="K23" s="24">
        <v>3744</v>
      </c>
      <c r="L23" s="24" t="str">
        <f t="shared" si="0"/>
        <v>IL60W1ブラケット(IB3601)</v>
      </c>
      <c r="M23" s="24">
        <v>60</v>
      </c>
      <c r="N23" s="8">
        <v>1</v>
      </c>
      <c r="O23" s="41">
        <f t="shared" si="1"/>
        <v>449.28</v>
      </c>
    </row>
    <row r="24" spans="1:15">
      <c r="A24" s="25">
        <v>21</v>
      </c>
      <c r="B24" s="26" t="s">
        <v>111</v>
      </c>
      <c r="C24" s="2" t="s">
        <v>61</v>
      </c>
      <c r="D24" s="2" t="s">
        <v>6</v>
      </c>
      <c r="E24" s="25" t="s">
        <v>117</v>
      </c>
      <c r="F24" s="2" t="s">
        <v>51</v>
      </c>
      <c r="G24" s="2" t="s">
        <v>76</v>
      </c>
      <c r="H24" s="3">
        <v>2</v>
      </c>
      <c r="I24" s="2" t="s">
        <v>39</v>
      </c>
      <c r="J24" s="2">
        <v>1</v>
      </c>
      <c r="K24" s="24">
        <v>936</v>
      </c>
      <c r="L24" s="24" t="str">
        <f t="shared" si="0"/>
        <v>FL20W2V202 WP</v>
      </c>
      <c r="M24" s="24">
        <v>45</v>
      </c>
      <c r="N24" s="8">
        <v>1</v>
      </c>
      <c r="O24" s="41">
        <f t="shared" si="1"/>
        <v>42.12</v>
      </c>
    </row>
    <row r="25" spans="1:15">
      <c r="A25" s="25">
        <v>22</v>
      </c>
      <c r="B25" s="26" t="s">
        <v>111</v>
      </c>
      <c r="C25" s="2"/>
      <c r="D25" s="2" t="s">
        <v>6</v>
      </c>
      <c r="E25" s="25" t="s">
        <v>117</v>
      </c>
      <c r="F25" s="2" t="s">
        <v>51</v>
      </c>
      <c r="G25" s="2" t="s">
        <v>78</v>
      </c>
      <c r="H25" s="3">
        <v>1</v>
      </c>
      <c r="I25" s="2" t="s">
        <v>40</v>
      </c>
      <c r="J25" s="2">
        <v>3</v>
      </c>
      <c r="K25" s="24">
        <v>936</v>
      </c>
      <c r="L25" s="24" t="str">
        <f t="shared" si="0"/>
        <v>IL60W1ブラケット</v>
      </c>
      <c r="M25" s="24">
        <v>60</v>
      </c>
      <c r="N25" s="8">
        <v>1</v>
      </c>
      <c r="O25" s="41">
        <f t="shared" si="1"/>
        <v>168.48</v>
      </c>
    </row>
    <row r="26" spans="1:15">
      <c r="A26" s="25">
        <v>23</v>
      </c>
      <c r="B26" s="26" t="s">
        <v>111</v>
      </c>
      <c r="C26" s="2" t="s">
        <v>55</v>
      </c>
      <c r="D26" s="2" t="s">
        <v>6</v>
      </c>
      <c r="E26" s="25" t="s">
        <v>118</v>
      </c>
      <c r="F26" s="2" t="s">
        <v>27</v>
      </c>
      <c r="G26" s="2" t="s">
        <v>75</v>
      </c>
      <c r="H26" s="3">
        <v>1</v>
      </c>
      <c r="I26" s="2" t="s">
        <v>14</v>
      </c>
      <c r="J26" s="2">
        <v>2</v>
      </c>
      <c r="K26" s="24">
        <v>3744</v>
      </c>
      <c r="L26" s="24" t="str">
        <f t="shared" si="0"/>
        <v>FLR40W1V401</v>
      </c>
      <c r="M26" s="24">
        <v>45</v>
      </c>
      <c r="N26" s="8">
        <v>1</v>
      </c>
      <c r="O26" s="41">
        <f t="shared" si="1"/>
        <v>336.96</v>
      </c>
    </row>
    <row r="27" spans="1:15">
      <c r="A27" s="25">
        <v>24</v>
      </c>
      <c r="B27" s="26" t="s">
        <v>111</v>
      </c>
      <c r="C27" s="2" t="s">
        <v>65</v>
      </c>
      <c r="D27" s="2" t="s">
        <v>6</v>
      </c>
      <c r="E27" s="25" t="s">
        <v>94</v>
      </c>
      <c r="F27" s="2" t="s">
        <v>28</v>
      </c>
      <c r="G27" s="2" t="s">
        <v>76</v>
      </c>
      <c r="H27" s="3">
        <v>1</v>
      </c>
      <c r="I27" s="2" t="s">
        <v>40</v>
      </c>
      <c r="J27" s="2">
        <v>1</v>
      </c>
      <c r="K27" s="24">
        <v>234</v>
      </c>
      <c r="L27" s="24" t="str">
        <f t="shared" si="0"/>
        <v>FL20W1ブラケット</v>
      </c>
      <c r="M27" s="24">
        <v>23</v>
      </c>
      <c r="N27" s="8">
        <v>1</v>
      </c>
      <c r="O27" s="41">
        <f t="shared" si="1"/>
        <v>5.3819999999999997</v>
      </c>
    </row>
    <row r="28" spans="1:15">
      <c r="A28" s="25">
        <v>25</v>
      </c>
      <c r="B28" s="26" t="s">
        <v>111</v>
      </c>
      <c r="C28" s="2" t="s">
        <v>66</v>
      </c>
      <c r="D28" s="2" t="s">
        <v>30</v>
      </c>
      <c r="E28" s="25" t="s">
        <v>119</v>
      </c>
      <c r="F28" s="2" t="s">
        <v>29</v>
      </c>
      <c r="G28" s="2" t="s">
        <v>74</v>
      </c>
      <c r="H28" s="3">
        <v>1</v>
      </c>
      <c r="I28" s="2" t="s">
        <v>40</v>
      </c>
      <c r="J28" s="2">
        <v>3</v>
      </c>
      <c r="K28" s="24">
        <v>738</v>
      </c>
      <c r="L28" s="24" t="str">
        <f t="shared" si="0"/>
        <v>FDL18W1ブラケット</v>
      </c>
      <c r="M28" s="24">
        <v>22</v>
      </c>
      <c r="N28" s="8">
        <v>1</v>
      </c>
      <c r="O28" s="41">
        <f t="shared" si="1"/>
        <v>48.707999999999998</v>
      </c>
    </row>
    <row r="29" spans="1:15">
      <c r="A29" s="25">
        <v>26</v>
      </c>
      <c r="B29" s="26" t="s">
        <v>111</v>
      </c>
      <c r="C29" s="2" t="s">
        <v>67</v>
      </c>
      <c r="D29" s="2" t="s">
        <v>30</v>
      </c>
      <c r="E29" s="25" t="s">
        <v>126</v>
      </c>
      <c r="F29" s="2" t="s">
        <v>29</v>
      </c>
      <c r="G29" s="2" t="s">
        <v>46</v>
      </c>
      <c r="H29" s="3">
        <v>1</v>
      </c>
      <c r="I29" s="2" t="s">
        <v>41</v>
      </c>
      <c r="J29" s="2">
        <v>1</v>
      </c>
      <c r="K29" s="24">
        <v>0</v>
      </c>
      <c r="L29" s="24" t="str">
        <f t="shared" si="0"/>
        <v>PIL14.4V401非常灯(IEM40801)</v>
      </c>
      <c r="M29" s="24">
        <v>40</v>
      </c>
      <c r="N29" s="8">
        <v>1</v>
      </c>
      <c r="O29" s="41">
        <f t="shared" si="1"/>
        <v>0</v>
      </c>
    </row>
    <row r="30" spans="1:15">
      <c r="A30" s="25">
        <v>27</v>
      </c>
      <c r="B30" s="26" t="s">
        <v>110</v>
      </c>
      <c r="C30" s="2" t="s">
        <v>71</v>
      </c>
      <c r="D30" s="2" t="s">
        <v>30</v>
      </c>
      <c r="E30" s="25" t="s">
        <v>126</v>
      </c>
      <c r="F30" s="2" t="s">
        <v>29</v>
      </c>
      <c r="G30" s="2" t="s">
        <v>47</v>
      </c>
      <c r="H30" s="3">
        <v>1</v>
      </c>
      <c r="I30" s="2" t="s">
        <v>48</v>
      </c>
      <c r="J30" s="2">
        <v>1</v>
      </c>
      <c r="K30" s="24">
        <v>0</v>
      </c>
      <c r="L30" s="24" t="str">
        <f t="shared" si="0"/>
        <v>LED1非常灯</v>
      </c>
      <c r="M30" s="24">
        <v>2</v>
      </c>
      <c r="N30" s="8">
        <v>1</v>
      </c>
      <c r="O30" s="41">
        <f t="shared" si="1"/>
        <v>0</v>
      </c>
    </row>
    <row r="31" spans="1:15">
      <c r="A31" s="25">
        <v>28</v>
      </c>
      <c r="B31" s="26" t="s">
        <v>111</v>
      </c>
      <c r="C31" s="2" t="s">
        <v>68</v>
      </c>
      <c r="D31" s="2" t="s">
        <v>30</v>
      </c>
      <c r="E31" s="25" t="s">
        <v>119</v>
      </c>
      <c r="F31" s="2" t="s">
        <v>31</v>
      </c>
      <c r="G31" s="2" t="s">
        <v>79</v>
      </c>
      <c r="H31" s="3">
        <v>3</v>
      </c>
      <c r="I31" s="2" t="s">
        <v>19</v>
      </c>
      <c r="J31" s="2">
        <v>4</v>
      </c>
      <c r="K31" s="24">
        <v>738</v>
      </c>
      <c r="L31" s="24" t="str">
        <f t="shared" si="0"/>
        <v>FCL40W3丸形　埋込</v>
      </c>
      <c r="M31" s="24">
        <v>44</v>
      </c>
      <c r="N31" s="8">
        <v>1</v>
      </c>
      <c r="O31" s="41">
        <f t="shared" si="1"/>
        <v>129.88800000000001</v>
      </c>
    </row>
    <row r="32" spans="1:15">
      <c r="A32" s="25">
        <v>29</v>
      </c>
      <c r="B32" s="26" t="s">
        <v>111</v>
      </c>
      <c r="C32" s="2" t="s">
        <v>56</v>
      </c>
      <c r="D32" s="2" t="s">
        <v>30</v>
      </c>
      <c r="E32" s="25" t="s">
        <v>119</v>
      </c>
      <c r="F32" s="2" t="s">
        <v>31</v>
      </c>
      <c r="G32" s="2" t="s">
        <v>17</v>
      </c>
      <c r="H32" s="3">
        <v>1</v>
      </c>
      <c r="I32" s="2" t="s">
        <v>19</v>
      </c>
      <c r="J32" s="2">
        <v>8</v>
      </c>
      <c r="K32" s="24">
        <v>738</v>
      </c>
      <c r="L32" s="24" t="str">
        <f t="shared" si="0"/>
        <v>FCL40＋301丸形　埋込</v>
      </c>
      <c r="M32" s="24">
        <v>70</v>
      </c>
      <c r="N32" s="8">
        <v>1</v>
      </c>
      <c r="O32" s="41">
        <f t="shared" si="1"/>
        <v>413.28</v>
      </c>
    </row>
    <row r="33" spans="1:15">
      <c r="A33" s="25">
        <v>30</v>
      </c>
      <c r="B33" s="26" t="s">
        <v>111</v>
      </c>
      <c r="C33" s="2" t="s">
        <v>58</v>
      </c>
      <c r="D33" s="2" t="s">
        <v>30</v>
      </c>
      <c r="E33" s="25" t="s">
        <v>125</v>
      </c>
      <c r="F33" s="2" t="s">
        <v>31</v>
      </c>
      <c r="G33" s="2" t="s">
        <v>76</v>
      </c>
      <c r="H33" s="3">
        <v>1</v>
      </c>
      <c r="I33" s="2" t="s">
        <v>21</v>
      </c>
      <c r="J33" s="2">
        <v>1</v>
      </c>
      <c r="K33" s="24">
        <v>8760</v>
      </c>
      <c r="L33" s="24" t="str">
        <f t="shared" si="0"/>
        <v>FL20W1誘導灯(FBK2107)</v>
      </c>
      <c r="M33" s="24">
        <v>23</v>
      </c>
      <c r="N33" s="8">
        <v>1</v>
      </c>
      <c r="O33" s="41">
        <f t="shared" si="1"/>
        <v>201.48</v>
      </c>
    </row>
    <row r="34" spans="1:15">
      <c r="A34" s="25">
        <v>31</v>
      </c>
      <c r="B34" s="26" t="s">
        <v>111</v>
      </c>
      <c r="C34" s="2" t="s">
        <v>69</v>
      </c>
      <c r="D34" s="2" t="s">
        <v>30</v>
      </c>
      <c r="E34" s="25" t="s">
        <v>125</v>
      </c>
      <c r="F34" s="2" t="s">
        <v>31</v>
      </c>
      <c r="G34" s="2" t="s">
        <v>76</v>
      </c>
      <c r="H34" s="3">
        <v>1</v>
      </c>
      <c r="I34" s="2" t="s">
        <v>42</v>
      </c>
      <c r="J34" s="2">
        <v>1</v>
      </c>
      <c r="K34" s="24">
        <v>8760</v>
      </c>
      <c r="L34" s="24" t="str">
        <f t="shared" si="0"/>
        <v>FL20W1誘導灯　両面</v>
      </c>
      <c r="M34" s="24">
        <v>23</v>
      </c>
      <c r="N34" s="8">
        <v>1</v>
      </c>
      <c r="O34" s="41">
        <f t="shared" si="1"/>
        <v>201.48</v>
      </c>
    </row>
    <row r="35" spans="1:15">
      <c r="A35" s="25">
        <v>32</v>
      </c>
      <c r="B35" s="26" t="s">
        <v>111</v>
      </c>
      <c r="C35" s="2" t="s">
        <v>56</v>
      </c>
      <c r="D35" s="2" t="s">
        <v>30</v>
      </c>
      <c r="E35" s="25" t="s">
        <v>119</v>
      </c>
      <c r="F35" s="2" t="s">
        <v>32</v>
      </c>
      <c r="G35" s="2" t="s">
        <v>17</v>
      </c>
      <c r="H35" s="3">
        <v>1</v>
      </c>
      <c r="I35" s="2" t="s">
        <v>19</v>
      </c>
      <c r="J35" s="2">
        <v>2</v>
      </c>
      <c r="K35" s="24">
        <v>738</v>
      </c>
      <c r="L35" s="24" t="str">
        <f t="shared" si="0"/>
        <v>FCL40＋301丸形　埋込</v>
      </c>
      <c r="M35" s="24">
        <v>70</v>
      </c>
      <c r="N35" s="8">
        <v>1</v>
      </c>
      <c r="O35" s="41">
        <f t="shared" si="1"/>
        <v>103.32</v>
      </c>
    </row>
    <row r="36" spans="1:15">
      <c r="A36" s="25">
        <v>33</v>
      </c>
      <c r="B36" s="26" t="s">
        <v>111</v>
      </c>
      <c r="C36" s="2" t="s">
        <v>52</v>
      </c>
      <c r="D36" s="2" t="s">
        <v>30</v>
      </c>
      <c r="E36" s="25" t="s">
        <v>119</v>
      </c>
      <c r="F36" s="2" t="s">
        <v>33</v>
      </c>
      <c r="G36" s="2" t="s">
        <v>74</v>
      </c>
      <c r="H36" s="3">
        <v>1</v>
      </c>
      <c r="I36" s="2" t="s">
        <v>10</v>
      </c>
      <c r="J36" s="2">
        <v>1</v>
      </c>
      <c r="K36" s="24">
        <v>738</v>
      </c>
      <c r="L36" s="24" t="str">
        <f t="shared" si="0"/>
        <v>FDL18W1ﾀﾞｳﾝﾗｲﾄ　WP</v>
      </c>
      <c r="M36" s="24">
        <v>22</v>
      </c>
      <c r="N36" s="8">
        <v>1</v>
      </c>
      <c r="O36" s="41">
        <f t="shared" si="1"/>
        <v>16.236000000000001</v>
      </c>
    </row>
    <row r="37" spans="1:15">
      <c r="A37" s="25">
        <v>34</v>
      </c>
      <c r="B37" s="26" t="s">
        <v>111</v>
      </c>
      <c r="C37" s="2" t="s">
        <v>70</v>
      </c>
      <c r="D37" s="2" t="s">
        <v>100</v>
      </c>
      <c r="E37" s="25" t="s">
        <v>123</v>
      </c>
      <c r="F37" s="2" t="s">
        <v>34</v>
      </c>
      <c r="G37" s="2" t="s">
        <v>45</v>
      </c>
      <c r="H37" s="3">
        <v>1</v>
      </c>
      <c r="I37" s="2" t="s">
        <v>40</v>
      </c>
      <c r="J37" s="2">
        <v>2</v>
      </c>
      <c r="K37" s="24">
        <v>1643</v>
      </c>
      <c r="L37" s="24" t="str">
        <f t="shared" si="0"/>
        <v>BHGF100-110V100W/T1ブラケット</v>
      </c>
      <c r="M37" s="24">
        <v>100</v>
      </c>
      <c r="N37" s="8">
        <v>1</v>
      </c>
      <c r="O37" s="41">
        <f t="shared" si="1"/>
        <v>328.6</v>
      </c>
    </row>
    <row r="38" spans="1:15">
      <c r="A38" s="25">
        <v>35</v>
      </c>
      <c r="B38" s="26" t="s">
        <v>111</v>
      </c>
      <c r="C38" s="2"/>
      <c r="D38" s="2" t="s">
        <v>100</v>
      </c>
      <c r="E38" s="25" t="s">
        <v>121</v>
      </c>
      <c r="F38" s="2" t="s">
        <v>35</v>
      </c>
      <c r="G38" s="2" t="s">
        <v>44</v>
      </c>
      <c r="H38" s="3">
        <v>1</v>
      </c>
      <c r="I38" s="2" t="s">
        <v>43</v>
      </c>
      <c r="J38" s="2">
        <v>80</v>
      </c>
      <c r="K38" s="24">
        <v>1135</v>
      </c>
      <c r="L38" s="24" t="str">
        <f t="shared" si="0"/>
        <v>MF10001投光器</v>
      </c>
      <c r="M38" s="24">
        <v>1100</v>
      </c>
      <c r="N38" s="8">
        <v>0.7</v>
      </c>
      <c r="O38" s="41">
        <f t="shared" si="1"/>
        <v>69916</v>
      </c>
    </row>
    <row r="39" spans="1:15">
      <c r="A39" s="25">
        <v>36</v>
      </c>
      <c r="B39" s="26" t="s">
        <v>110</v>
      </c>
      <c r="C39" s="2"/>
      <c r="D39" s="2" t="s">
        <v>100</v>
      </c>
      <c r="E39" s="25" t="s">
        <v>121</v>
      </c>
      <c r="F39" s="2" t="s">
        <v>35</v>
      </c>
      <c r="G39" s="2" t="s">
        <v>76</v>
      </c>
      <c r="H39" s="3">
        <v>2</v>
      </c>
      <c r="I39" s="2" t="s">
        <v>72</v>
      </c>
      <c r="J39" s="2">
        <v>16</v>
      </c>
      <c r="K39" s="24">
        <v>1135</v>
      </c>
      <c r="L39" s="24" t="str">
        <f t="shared" si="0"/>
        <v>FL20W2殺虫器</v>
      </c>
      <c r="M39" s="24">
        <v>45</v>
      </c>
      <c r="N39" s="8">
        <v>0.7</v>
      </c>
      <c r="O39" s="41">
        <f t="shared" si="1"/>
        <v>572.04</v>
      </c>
    </row>
    <row r="40" spans="1:15">
      <c r="O40" s="42">
        <f>SUM(O4:O39)</f>
        <v>76790.539399999994</v>
      </c>
    </row>
  </sheetData>
  <autoFilter ref="A3:O40" xr:uid="{B3EA20F1-663B-4E04-AC38-F7F6408BDA85}"/>
  <phoneticPr fontId="3"/>
  <dataValidations count="2">
    <dataValidation allowBlank="1" showInputMessage="1" showErrorMessage="1" sqref="I37 F32:F35 F8:F23 I4:I35" xr:uid="{976D75CD-C3E7-4964-A808-63803C807781}"/>
    <dataValidation type="list" allowBlank="1" showInputMessage="1" showErrorMessage="1" sqref="B4:B39" xr:uid="{EDBBBC40-9F6C-4807-8B40-C5387F15D8F9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1" orientation="landscape" r:id="rId1"/>
  <rowBreaks count="2" manualBreakCount="2">
    <brk id="27" max="14" man="1"/>
    <brk id="3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617C85-99B6-487C-8D6F-38D394218F4B}">
          <x14:formula1>
            <xm:f>照明設備稼働時間!$A$4:$A$15</xm:f>
          </x14:formula1>
          <xm:sqref>E4:E39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設定ベースライン</vt:lpstr>
      <vt:lpstr>照明器具一覧</vt:lpstr>
      <vt:lpstr>照明設備稼働時間</vt:lpstr>
      <vt:lpstr>照明器具台数</vt:lpstr>
      <vt:lpstr>既設照明器具リスト</vt:lpstr>
      <vt:lpstr>既設照明器具リスト!Print_Area</vt:lpstr>
      <vt:lpstr>既設照明器具リスト!Print_Titles</vt:lpstr>
      <vt:lpstr>照明器具一覧!Print_Titles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2025-03-23T07:25:00Z</cp:lastPrinted>
  <dcterms:created xsi:type="dcterms:W3CDTF">2015-06-05T18:19:34Z</dcterms:created>
  <dcterms:modified xsi:type="dcterms:W3CDTF">2025-03-23T07:26:20Z</dcterms:modified>
</cp:coreProperties>
</file>