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2.82.24\share\trashbox\公共施設マネジメント室\104公共施設照明LED化\03_プロポーザル\配布資料\01_既設照明器具リスト\05_市民プール\"/>
    </mc:Choice>
  </mc:AlternateContent>
  <xr:revisionPtr revIDLastSave="0" documentId="13_ncr:1_{168BB3BD-1509-4D22-AAB6-AC8810997BC2}" xr6:coauthVersionLast="47" xr6:coauthVersionMax="47" xr10:uidLastSave="{00000000-0000-0000-0000-000000000000}"/>
  <bookViews>
    <workbookView xWindow="40920" yWindow="-120" windowWidth="29040" windowHeight="15840" tabRatio="862" activeTab="4" xr2:uid="{00000000-000D-0000-FFFF-FFFF00000000}"/>
  </bookViews>
  <sheets>
    <sheet name="設定ベースライン" sheetId="19" r:id="rId1"/>
    <sheet name="直近36ヶ月使用電力量" sheetId="20" r:id="rId2"/>
    <sheet name="照明器具種類" sheetId="22" r:id="rId3"/>
    <sheet name="照明設備稼働時間" sheetId="21" r:id="rId4"/>
    <sheet name="照明器具台数" sheetId="23" r:id="rId5"/>
    <sheet name="既設照明器具リスト" sheetId="24" r:id="rId6"/>
    <sheet name="市民プール" sheetId="18" state="hidden" r:id="rId7"/>
  </sheets>
  <definedNames>
    <definedName name="_xlnm._FilterDatabase" localSheetId="5" hidden="1">既設照明器具リスト!$A$3:$O$174</definedName>
    <definedName name="_xlnm._FilterDatabase" localSheetId="2" hidden="1">照明器具種類!$A$3:$F$89</definedName>
    <definedName name="_xlnm.Print_Area" localSheetId="5">既設照明器具リスト!$A$1:$O$173</definedName>
    <definedName name="_xlnm.Print_Titles" localSheetId="5">既設照明器具リスト!$3:$3</definedName>
    <definedName name="_xlnm.Print_Titles" localSheetId="2">照明器具種類!$3:$3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21" l="1"/>
  <c r="E6" i="21"/>
  <c r="E7" i="21"/>
  <c r="E8" i="21"/>
  <c r="E9" i="21"/>
  <c r="E10" i="21"/>
  <c r="E11" i="21"/>
  <c r="E12" i="21"/>
  <c r="E13" i="21"/>
  <c r="E14" i="21"/>
  <c r="E15" i="21"/>
  <c r="E16" i="21"/>
  <c r="E17" i="21"/>
  <c r="E18" i="21"/>
  <c r="E19" i="21"/>
  <c r="E20" i="21"/>
  <c r="E4" i="21"/>
  <c r="E9" i="23"/>
  <c r="D9" i="23"/>
  <c r="C9" i="23"/>
  <c r="B9" i="23"/>
  <c r="E8" i="23"/>
  <c r="D8" i="23"/>
  <c r="C8" i="23"/>
  <c r="B8" i="23"/>
  <c r="E7" i="23"/>
  <c r="D7" i="23"/>
  <c r="C7" i="23"/>
  <c r="B7" i="23"/>
  <c r="E6" i="23"/>
  <c r="D6" i="23"/>
  <c r="C6" i="23"/>
  <c r="B6" i="23"/>
  <c r="E5" i="23"/>
  <c r="E11" i="23" s="1"/>
  <c r="D5" i="23"/>
  <c r="C5" i="23"/>
  <c r="C11" i="23" s="1"/>
  <c r="B5" i="23"/>
  <c r="E4" i="23"/>
  <c r="D4" i="23"/>
  <c r="C4" i="23"/>
  <c r="B4" i="23"/>
  <c r="B19" i="20"/>
  <c r="C19" i="20"/>
  <c r="D19" i="20"/>
  <c r="E19" i="20"/>
  <c r="F19" i="20"/>
  <c r="G19" i="20"/>
  <c r="H19" i="20"/>
  <c r="I19" i="20"/>
  <c r="J19" i="20"/>
  <c r="K19" i="20"/>
  <c r="L19" i="20"/>
  <c r="M19" i="20"/>
  <c r="B20" i="20"/>
  <c r="C20" i="20"/>
  <c r="O20" i="20" s="1"/>
  <c r="D20" i="20"/>
  <c r="E20" i="20"/>
  <c r="F20" i="20"/>
  <c r="G20" i="20"/>
  <c r="H20" i="20"/>
  <c r="I20" i="20"/>
  <c r="J20" i="20"/>
  <c r="K20" i="20"/>
  <c r="L20" i="20"/>
  <c r="M20" i="20"/>
  <c r="B21" i="20"/>
  <c r="C21" i="20"/>
  <c r="D21" i="20"/>
  <c r="E21" i="20"/>
  <c r="F21" i="20"/>
  <c r="G21" i="20"/>
  <c r="H21" i="20"/>
  <c r="I21" i="20"/>
  <c r="O21" i="20" s="1"/>
  <c r="J21" i="20"/>
  <c r="K21" i="20"/>
  <c r="L21" i="20"/>
  <c r="M21" i="20"/>
  <c r="B22" i="20"/>
  <c r="C22" i="20"/>
  <c r="D22" i="20"/>
  <c r="E22" i="20"/>
  <c r="O22" i="20" s="1"/>
  <c r="F22" i="20"/>
  <c r="G22" i="20"/>
  <c r="H22" i="20"/>
  <c r="I22" i="20"/>
  <c r="J22" i="20"/>
  <c r="K22" i="20"/>
  <c r="L22" i="20"/>
  <c r="M22" i="20"/>
  <c r="B12" i="20"/>
  <c r="C12" i="20"/>
  <c r="D12" i="20"/>
  <c r="E12" i="20"/>
  <c r="F12" i="20"/>
  <c r="G12" i="20"/>
  <c r="H12" i="20"/>
  <c r="O12" i="20" s="1"/>
  <c r="I12" i="20"/>
  <c r="J12" i="20"/>
  <c r="K12" i="20"/>
  <c r="L12" i="20"/>
  <c r="M12" i="20"/>
  <c r="B13" i="20"/>
  <c r="C13" i="20"/>
  <c r="O13" i="20" s="1"/>
  <c r="D13" i="20"/>
  <c r="E13" i="20"/>
  <c r="F13" i="20"/>
  <c r="G13" i="20"/>
  <c r="H13" i="20"/>
  <c r="I13" i="20"/>
  <c r="J13" i="20"/>
  <c r="K13" i="20"/>
  <c r="L13" i="20"/>
  <c r="M13" i="20"/>
  <c r="B14" i="20"/>
  <c r="C14" i="20"/>
  <c r="D14" i="20"/>
  <c r="E14" i="20"/>
  <c r="F14" i="20"/>
  <c r="G14" i="20"/>
  <c r="O14" i="20" s="1"/>
  <c r="H14" i="20"/>
  <c r="I14" i="20"/>
  <c r="J14" i="20"/>
  <c r="K14" i="20"/>
  <c r="L14" i="20"/>
  <c r="M14" i="20"/>
  <c r="B15" i="20"/>
  <c r="C15" i="20"/>
  <c r="O15" i="20" s="1"/>
  <c r="D15" i="20"/>
  <c r="E15" i="20"/>
  <c r="F15" i="20"/>
  <c r="G15" i="20"/>
  <c r="H15" i="20"/>
  <c r="I15" i="20"/>
  <c r="J15" i="20"/>
  <c r="K15" i="20"/>
  <c r="L15" i="20"/>
  <c r="M15" i="20"/>
  <c r="B5" i="20"/>
  <c r="C5" i="20"/>
  <c r="O5" i="20" s="1"/>
  <c r="D5" i="20"/>
  <c r="E5" i="20"/>
  <c r="F5" i="20"/>
  <c r="G5" i="20"/>
  <c r="H5" i="20"/>
  <c r="I5" i="20"/>
  <c r="J5" i="20"/>
  <c r="K5" i="20"/>
  <c r="L5" i="20"/>
  <c r="B6" i="20"/>
  <c r="C6" i="20"/>
  <c r="D6" i="20"/>
  <c r="E6" i="20"/>
  <c r="F6" i="20"/>
  <c r="G6" i="20"/>
  <c r="H6" i="20"/>
  <c r="I6" i="20"/>
  <c r="J6" i="20"/>
  <c r="K6" i="20"/>
  <c r="L6" i="20"/>
  <c r="B7" i="20"/>
  <c r="C7" i="20"/>
  <c r="O7" i="20" s="1"/>
  <c r="D7" i="20"/>
  <c r="E7" i="20"/>
  <c r="F7" i="20"/>
  <c r="G7" i="20"/>
  <c r="H7" i="20"/>
  <c r="I7" i="20"/>
  <c r="J7" i="20"/>
  <c r="K7" i="20"/>
  <c r="L7" i="20"/>
  <c r="B8" i="20"/>
  <c r="C8" i="20"/>
  <c r="D8" i="20"/>
  <c r="E8" i="20"/>
  <c r="F8" i="20"/>
  <c r="G8" i="20"/>
  <c r="H8" i="20"/>
  <c r="I8" i="20"/>
  <c r="J8" i="20"/>
  <c r="K8" i="20"/>
  <c r="L8" i="20"/>
  <c r="M5" i="20"/>
  <c r="M6" i="20"/>
  <c r="M7" i="20"/>
  <c r="M8" i="20"/>
  <c r="B18" i="20"/>
  <c r="C18" i="20"/>
  <c r="D18" i="20"/>
  <c r="E18" i="20"/>
  <c r="F18" i="20"/>
  <c r="G18" i="20"/>
  <c r="H18" i="20"/>
  <c r="I18" i="20"/>
  <c r="J18" i="20"/>
  <c r="K18" i="20"/>
  <c r="L18" i="20"/>
  <c r="M18" i="20"/>
  <c r="B11" i="20"/>
  <c r="C11" i="20"/>
  <c r="D11" i="20"/>
  <c r="E11" i="20"/>
  <c r="F11" i="20"/>
  <c r="G11" i="20"/>
  <c r="H11" i="20"/>
  <c r="I11" i="20"/>
  <c r="J11" i="20"/>
  <c r="K11" i="20"/>
  <c r="L11" i="20"/>
  <c r="M11" i="20"/>
  <c r="B4" i="20"/>
  <c r="C4" i="20"/>
  <c r="D4" i="20"/>
  <c r="E4" i="20"/>
  <c r="F4" i="20"/>
  <c r="N4" i="20" s="1"/>
  <c r="G4" i="20"/>
  <c r="H4" i="20"/>
  <c r="I4" i="20"/>
  <c r="J4" i="20"/>
  <c r="K4" i="20"/>
  <c r="L4" i="20"/>
  <c r="M4" i="20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L173" i="24"/>
  <c r="L172" i="24"/>
  <c r="L171" i="24"/>
  <c r="L170" i="24"/>
  <c r="L169" i="24"/>
  <c r="L168" i="24"/>
  <c r="L167" i="24"/>
  <c r="L166" i="24"/>
  <c r="L165" i="24"/>
  <c r="L164" i="24"/>
  <c r="L163" i="24"/>
  <c r="L162" i="24"/>
  <c r="L161" i="24"/>
  <c r="L160" i="24"/>
  <c r="L159" i="24"/>
  <c r="L158" i="24"/>
  <c r="L157" i="24"/>
  <c r="L156" i="24"/>
  <c r="L155" i="24"/>
  <c r="L154" i="24"/>
  <c r="L153" i="24"/>
  <c r="L152" i="24"/>
  <c r="L151" i="24"/>
  <c r="L150" i="24"/>
  <c r="L149" i="24"/>
  <c r="L148" i="24"/>
  <c r="L147" i="24"/>
  <c r="L146" i="24"/>
  <c r="L145" i="24"/>
  <c r="L144" i="24"/>
  <c r="L143" i="24"/>
  <c r="L142" i="24"/>
  <c r="L141" i="24"/>
  <c r="L140" i="24"/>
  <c r="L139" i="24"/>
  <c r="L138" i="24"/>
  <c r="L137" i="24"/>
  <c r="L136" i="24"/>
  <c r="L135" i="24"/>
  <c r="L134" i="24"/>
  <c r="L133" i="24"/>
  <c r="L132" i="24"/>
  <c r="L131" i="24"/>
  <c r="L130" i="24"/>
  <c r="L129" i="24"/>
  <c r="L128" i="24"/>
  <c r="L127" i="24"/>
  <c r="L126" i="24"/>
  <c r="L125" i="24"/>
  <c r="L124" i="24"/>
  <c r="L123" i="24"/>
  <c r="L122" i="24"/>
  <c r="L121" i="24"/>
  <c r="L120" i="24"/>
  <c r="L119" i="24"/>
  <c r="L118" i="24"/>
  <c r="L117" i="24"/>
  <c r="L116" i="24"/>
  <c r="L115" i="24"/>
  <c r="L114" i="24"/>
  <c r="L113" i="24"/>
  <c r="L112" i="24"/>
  <c r="L111" i="24"/>
  <c r="L110" i="24"/>
  <c r="L109" i="24"/>
  <c r="L108" i="24"/>
  <c r="L107" i="24"/>
  <c r="L106" i="24"/>
  <c r="L105" i="24"/>
  <c r="L104" i="24"/>
  <c r="L103" i="24"/>
  <c r="L102" i="24"/>
  <c r="L101" i="24"/>
  <c r="L100" i="24"/>
  <c r="L99" i="24"/>
  <c r="L98" i="24"/>
  <c r="L97" i="24"/>
  <c r="L96" i="24"/>
  <c r="L95" i="24"/>
  <c r="L94" i="24"/>
  <c r="L93" i="24"/>
  <c r="L92" i="24"/>
  <c r="L91" i="24"/>
  <c r="L90" i="24"/>
  <c r="L89" i="24"/>
  <c r="L88" i="24"/>
  <c r="L87" i="24"/>
  <c r="L86" i="24"/>
  <c r="L85" i="24"/>
  <c r="L84" i="24"/>
  <c r="L83" i="24"/>
  <c r="L82" i="24"/>
  <c r="L81" i="24"/>
  <c r="L80" i="24"/>
  <c r="L79" i="24"/>
  <c r="L78" i="24"/>
  <c r="L77" i="24"/>
  <c r="L76" i="24"/>
  <c r="L75" i="24"/>
  <c r="L74" i="24"/>
  <c r="L73" i="24"/>
  <c r="L72" i="24"/>
  <c r="L71" i="24"/>
  <c r="L70" i="24"/>
  <c r="L69" i="24"/>
  <c r="L68" i="24"/>
  <c r="L67" i="24"/>
  <c r="L66" i="24"/>
  <c r="L65" i="24"/>
  <c r="L64" i="24"/>
  <c r="L63" i="24"/>
  <c r="L62" i="24"/>
  <c r="L61" i="24"/>
  <c r="L60" i="24"/>
  <c r="L59" i="24"/>
  <c r="L58" i="24"/>
  <c r="L57" i="24"/>
  <c r="L56" i="24"/>
  <c r="L55" i="24"/>
  <c r="L54" i="24"/>
  <c r="L53" i="24"/>
  <c r="L52" i="24"/>
  <c r="L51" i="24"/>
  <c r="L50" i="24"/>
  <c r="L49" i="24"/>
  <c r="L48" i="24"/>
  <c r="L47" i="24"/>
  <c r="L46" i="24"/>
  <c r="L45" i="24"/>
  <c r="L44" i="24"/>
  <c r="L43" i="24"/>
  <c r="L42" i="24"/>
  <c r="L41" i="24"/>
  <c r="L40" i="24"/>
  <c r="L39" i="24"/>
  <c r="L38" i="24"/>
  <c r="L37" i="24"/>
  <c r="L36" i="24"/>
  <c r="L35" i="24"/>
  <c r="L34" i="24"/>
  <c r="L33" i="24"/>
  <c r="L32" i="24"/>
  <c r="L31" i="24"/>
  <c r="L30" i="24"/>
  <c r="L29" i="24"/>
  <c r="L28" i="24"/>
  <c r="L27" i="24"/>
  <c r="L26" i="24"/>
  <c r="L25" i="24"/>
  <c r="L24" i="24"/>
  <c r="L23" i="24"/>
  <c r="L22" i="24"/>
  <c r="L21" i="24"/>
  <c r="L20" i="24"/>
  <c r="L19" i="24"/>
  <c r="L18" i="24"/>
  <c r="L17" i="24"/>
  <c r="L16" i="24"/>
  <c r="L15" i="24"/>
  <c r="L14" i="24"/>
  <c r="L13" i="24"/>
  <c r="L12" i="24"/>
  <c r="L11" i="24"/>
  <c r="L10" i="24"/>
  <c r="L9" i="24"/>
  <c r="L8" i="24"/>
  <c r="L7" i="24"/>
  <c r="L6" i="24"/>
  <c r="L5" i="24"/>
  <c r="L4" i="24"/>
  <c r="B73" i="22"/>
  <c r="B72" i="22"/>
  <c r="B71" i="22"/>
  <c r="B70" i="22"/>
  <c r="B69" i="22"/>
  <c r="B68" i="22"/>
  <c r="B67" i="22"/>
  <c r="B66" i="22"/>
  <c r="B65" i="22"/>
  <c r="B64" i="22"/>
  <c r="B63" i="22"/>
  <c r="B62" i="22"/>
  <c r="B61" i="22"/>
  <c r="B60" i="22"/>
  <c r="B59" i="22"/>
  <c r="B58" i="22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B10" i="22"/>
  <c r="B9" i="22"/>
  <c r="B8" i="22"/>
  <c r="B7" i="22"/>
  <c r="B6" i="22"/>
  <c r="B5" i="22"/>
  <c r="B4" i="22"/>
  <c r="K14" i="24"/>
  <c r="K113" i="24"/>
  <c r="K98" i="24"/>
  <c r="K59" i="24"/>
  <c r="K108" i="24"/>
  <c r="K32" i="24"/>
  <c r="O19" i="20"/>
  <c r="O18" i="20"/>
  <c r="O11" i="20"/>
  <c r="O8" i="20"/>
  <c r="O6" i="20"/>
  <c r="D11" i="23" l="1"/>
  <c r="E12" i="23"/>
  <c r="D12" i="23"/>
  <c r="F6" i="23"/>
  <c r="F8" i="23"/>
  <c r="F5" i="23"/>
  <c r="F7" i="23"/>
  <c r="F9" i="23"/>
  <c r="C12" i="23"/>
  <c r="F4" i="23"/>
  <c r="B11" i="23"/>
  <c r="B10" i="23"/>
  <c r="B12" i="23"/>
  <c r="E10" i="23"/>
  <c r="D10" i="23"/>
  <c r="C10" i="23"/>
  <c r="K122" i="24"/>
  <c r="K89" i="24"/>
  <c r="K103" i="24"/>
  <c r="K49" i="24"/>
  <c r="K18" i="24"/>
  <c r="M6" i="24"/>
  <c r="M14" i="24"/>
  <c r="O14" i="24" s="1"/>
  <c r="M22" i="24"/>
  <c r="M8" i="24"/>
  <c r="M16" i="24"/>
  <c r="M10" i="24"/>
  <c r="M18" i="24"/>
  <c r="M87" i="24"/>
  <c r="M4" i="24"/>
  <c r="M12" i="24"/>
  <c r="M20" i="24"/>
  <c r="M36" i="24"/>
  <c r="M52" i="24"/>
  <c r="M68" i="24"/>
  <c r="M84" i="24"/>
  <c r="M100" i="24"/>
  <c r="M116" i="24"/>
  <c r="M45" i="24"/>
  <c r="M61" i="24"/>
  <c r="M93" i="24"/>
  <c r="M109" i="24"/>
  <c r="M125" i="24"/>
  <c r="M141" i="24"/>
  <c r="B8" i="19"/>
  <c r="B9" i="19"/>
  <c r="B7" i="19"/>
  <c r="B10" i="19"/>
  <c r="M5" i="24"/>
  <c r="M7" i="24"/>
  <c r="M9" i="24"/>
  <c r="M11" i="24"/>
  <c r="M13" i="24"/>
  <c r="M15" i="24"/>
  <c r="K20" i="24"/>
  <c r="M24" i="24"/>
  <c r="K27" i="24"/>
  <c r="M31" i="24"/>
  <c r="K35" i="24"/>
  <c r="K41" i="24"/>
  <c r="M44" i="24"/>
  <c r="M50" i="24"/>
  <c r="M54" i="24"/>
  <c r="K58" i="24"/>
  <c r="M62" i="24"/>
  <c r="M66" i="24"/>
  <c r="K83" i="24"/>
  <c r="K91" i="24"/>
  <c r="M95" i="24"/>
  <c r="M103" i="24"/>
  <c r="M107" i="24"/>
  <c r="K112" i="24"/>
  <c r="M120" i="24"/>
  <c r="M124" i="24"/>
  <c r="M128" i="24"/>
  <c r="M132" i="24"/>
  <c r="M149" i="24"/>
  <c r="K153" i="24"/>
  <c r="M157" i="24"/>
  <c r="M161" i="24"/>
  <c r="M165" i="24"/>
  <c r="K25" i="24"/>
  <c r="M29" i="24"/>
  <c r="M38" i="24"/>
  <c r="M41" i="24"/>
  <c r="M47" i="24"/>
  <c r="K51" i="24"/>
  <c r="K67" i="24"/>
  <c r="K75" i="24"/>
  <c r="M79" i="24"/>
  <c r="M91" i="24"/>
  <c r="K96" i="24"/>
  <c r="M104" i="24"/>
  <c r="M108" i="24"/>
  <c r="O108" i="24" s="1"/>
  <c r="M112" i="24"/>
  <c r="M133" i="24"/>
  <c r="K137" i="24"/>
  <c r="M145" i="24"/>
  <c r="M153" i="24"/>
  <c r="K162" i="24"/>
  <c r="K171" i="24"/>
  <c r="N18" i="20"/>
  <c r="K111" i="24"/>
  <c r="K79" i="24"/>
  <c r="K81" i="24"/>
  <c r="K110" i="24"/>
  <c r="K94" i="24"/>
  <c r="K62" i="24"/>
  <c r="K36" i="24"/>
  <c r="K33" i="24"/>
  <c r="K37" i="24"/>
  <c r="K172" i="24"/>
  <c r="K100" i="24"/>
  <c r="K93" i="24"/>
  <c r="K102" i="24"/>
  <c r="K63" i="24"/>
  <c r="K104" i="24"/>
  <c r="K101" i="24"/>
  <c r="M172" i="24"/>
  <c r="M170" i="24"/>
  <c r="M168" i="24"/>
  <c r="M166" i="24"/>
  <c r="M164" i="24"/>
  <c r="M152" i="24"/>
  <c r="M171" i="24"/>
  <c r="M163" i="24"/>
  <c r="M154" i="24"/>
  <c r="M147" i="24"/>
  <c r="M138" i="24"/>
  <c r="M131" i="24"/>
  <c r="M122" i="24"/>
  <c r="M115" i="24"/>
  <c r="M106" i="24"/>
  <c r="M99" i="24"/>
  <c r="M90" i="24"/>
  <c r="M83" i="24"/>
  <c r="M74" i="24"/>
  <c r="M67" i="24"/>
  <c r="M58" i="24"/>
  <c r="M51" i="24"/>
  <c r="M156" i="24"/>
  <c r="M160" i="24"/>
  <c r="M167" i="24"/>
  <c r="M162" i="24"/>
  <c r="K40" i="24"/>
  <c r="K44" i="24"/>
  <c r="K4" i="24"/>
  <c r="K6" i="24"/>
  <c r="K8" i="24"/>
  <c r="K10" i="24"/>
  <c r="K12" i="24"/>
  <c r="O12" i="24" s="1"/>
  <c r="K16" i="24"/>
  <c r="K23" i="24"/>
  <c r="M27" i="24"/>
  <c r="M32" i="24"/>
  <c r="O32" i="24" s="1"/>
  <c r="M35" i="24"/>
  <c r="K42" i="24"/>
  <c r="K48" i="24"/>
  <c r="M63" i="24"/>
  <c r="M71" i="24"/>
  <c r="M75" i="24"/>
  <c r="K80" i="24"/>
  <c r="M88" i="24"/>
  <c r="M92" i="24"/>
  <c r="M96" i="24"/>
  <c r="M117" i="24"/>
  <c r="K121" i="24"/>
  <c r="M129" i="24"/>
  <c r="M137" i="24"/>
  <c r="K146" i="24"/>
  <c r="M150" i="24"/>
  <c r="K154" i="24"/>
  <c r="M158" i="24"/>
  <c r="K167" i="24"/>
  <c r="K21" i="24"/>
  <c r="M25" i="24"/>
  <c r="K30" i="24"/>
  <c r="K39" i="24"/>
  <c r="M48" i="24"/>
  <c r="M55" i="24"/>
  <c r="M59" i="24"/>
  <c r="O59" i="24" s="1"/>
  <c r="K64" i="24"/>
  <c r="M72" i="24"/>
  <c r="M76" i="24"/>
  <c r="M80" i="24"/>
  <c r="M101" i="24"/>
  <c r="K105" i="24"/>
  <c r="M113" i="24"/>
  <c r="O113" i="24" s="1"/>
  <c r="M121" i="24"/>
  <c r="K130" i="24"/>
  <c r="M134" i="24"/>
  <c r="K138" i="24"/>
  <c r="M142" i="24"/>
  <c r="M146" i="24"/>
  <c r="K163" i="24"/>
  <c r="K173" i="24"/>
  <c r="O4" i="20"/>
  <c r="K52" i="24"/>
  <c r="K56" i="24"/>
  <c r="K53" i="24"/>
  <c r="K19" i="24"/>
  <c r="M23" i="24"/>
  <c r="K28" i="24"/>
  <c r="M33" i="24"/>
  <c r="M42" i="24"/>
  <c r="K46" i="24"/>
  <c r="M56" i="24"/>
  <c r="M60" i="24"/>
  <c r="M64" i="24"/>
  <c r="M85" i="24"/>
  <c r="M97" i="24"/>
  <c r="M105" i="24"/>
  <c r="K114" i="24"/>
  <c r="M118" i="24"/>
  <c r="M126" i="24"/>
  <c r="M130" i="24"/>
  <c r="K147" i="24"/>
  <c r="K155" i="24"/>
  <c r="M159" i="24"/>
  <c r="K109" i="24"/>
  <c r="K84" i="24"/>
  <c r="K77" i="24"/>
  <c r="K68" i="24"/>
  <c r="K61" i="24"/>
  <c r="O61" i="24" s="1"/>
  <c r="K95" i="24"/>
  <c r="K70" i="24"/>
  <c r="K72" i="24"/>
  <c r="K76" i="24"/>
  <c r="K69" i="24"/>
  <c r="K60" i="24"/>
  <c r="K78" i="24"/>
  <c r="K71" i="24"/>
  <c r="O71" i="24" s="1"/>
  <c r="N11" i="20"/>
  <c r="K45" i="24"/>
  <c r="K169" i="24"/>
  <c r="K168" i="24"/>
  <c r="K54" i="24"/>
  <c r="K55" i="24"/>
  <c r="K125" i="24"/>
  <c r="K116" i="24"/>
  <c r="K127" i="24"/>
  <c r="K118" i="24"/>
  <c r="K120" i="24"/>
  <c r="K124" i="24"/>
  <c r="K117" i="24"/>
  <c r="K126" i="24"/>
  <c r="K119" i="24"/>
  <c r="K17" i="24"/>
  <c r="M21" i="24"/>
  <c r="K26" i="24"/>
  <c r="M30" i="24"/>
  <c r="K34" i="24"/>
  <c r="M39" i="24"/>
  <c r="K43" i="24"/>
  <c r="M49" i="24"/>
  <c r="M69" i="24"/>
  <c r="K73" i="24"/>
  <c r="M77" i="24"/>
  <c r="M81" i="24"/>
  <c r="M89" i="24"/>
  <c r="M102" i="24"/>
  <c r="K106" i="24"/>
  <c r="M110" i="24"/>
  <c r="M114" i="24"/>
  <c r="K131" i="24"/>
  <c r="K139" i="24"/>
  <c r="M143" i="24"/>
  <c r="M151" i="24"/>
  <c r="M155" i="24"/>
  <c r="K160" i="24"/>
  <c r="K86" i="24"/>
  <c r="K88" i="24"/>
  <c r="K92" i="24"/>
  <c r="K85" i="24"/>
  <c r="K87" i="24"/>
  <c r="K97" i="24"/>
  <c r="K65" i="24"/>
  <c r="K164" i="24"/>
  <c r="K157" i="24"/>
  <c r="O157" i="24" s="1"/>
  <c r="K148" i="24"/>
  <c r="K141" i="24"/>
  <c r="K132" i="24"/>
  <c r="O132" i="24" s="1"/>
  <c r="K159" i="24"/>
  <c r="O159" i="24" s="1"/>
  <c r="K150" i="24"/>
  <c r="K143" i="24"/>
  <c r="K134" i="24"/>
  <c r="K166" i="24"/>
  <c r="K161" i="24"/>
  <c r="K152" i="24"/>
  <c r="K145" i="24"/>
  <c r="K136" i="24"/>
  <c r="K129" i="24"/>
  <c r="K156" i="24"/>
  <c r="K149" i="24"/>
  <c r="K140" i="24"/>
  <c r="K133" i="24"/>
  <c r="K165" i="24"/>
  <c r="K158" i="24"/>
  <c r="K151" i="24"/>
  <c r="K142" i="24"/>
  <c r="K135" i="24"/>
  <c r="K5" i="24"/>
  <c r="K7" i="24"/>
  <c r="K9" i="24"/>
  <c r="K11" i="24"/>
  <c r="O11" i="24" s="1"/>
  <c r="K13" i="24"/>
  <c r="K15" i="24"/>
  <c r="M19" i="24"/>
  <c r="K24" i="24"/>
  <c r="M28" i="24"/>
  <c r="K31" i="24"/>
  <c r="M37" i="24"/>
  <c r="M40" i="24"/>
  <c r="M46" i="24"/>
  <c r="K50" i="24"/>
  <c r="M53" i="24"/>
  <c r="K57" i="24"/>
  <c r="M65" i="24"/>
  <c r="M73" i="24"/>
  <c r="K82" i="24"/>
  <c r="M86" i="24"/>
  <c r="K90" i="24"/>
  <c r="M94" i="24"/>
  <c r="M98" i="24"/>
  <c r="O98" i="24" s="1"/>
  <c r="K115" i="24"/>
  <c r="K123" i="24"/>
  <c r="M127" i="24"/>
  <c r="M135" i="24"/>
  <c r="M139" i="24"/>
  <c r="K144" i="24"/>
  <c r="M169" i="24"/>
  <c r="M173" i="24"/>
  <c r="M17" i="24"/>
  <c r="K22" i="24"/>
  <c r="M26" i="24"/>
  <c r="K29" i="24"/>
  <c r="M34" i="24"/>
  <c r="K38" i="24"/>
  <c r="M43" i="24"/>
  <c r="K47" i="24"/>
  <c r="M57" i="24"/>
  <c r="K66" i="24"/>
  <c r="M70" i="24"/>
  <c r="K74" i="24"/>
  <c r="M78" i="24"/>
  <c r="M82" i="24"/>
  <c r="K99" i="24"/>
  <c r="K107" i="24"/>
  <c r="M111" i="24"/>
  <c r="M119" i="24"/>
  <c r="M123" i="24"/>
  <c r="K128" i="24"/>
  <c r="M136" i="24"/>
  <c r="M140" i="24"/>
  <c r="M144" i="24"/>
  <c r="M148" i="24"/>
  <c r="K170" i="24"/>
  <c r="F11" i="23" l="1"/>
  <c r="O152" i="24"/>
  <c r="O164" i="24"/>
  <c r="F12" i="23"/>
  <c r="O116" i="24"/>
  <c r="O54" i="24"/>
  <c r="O45" i="24"/>
  <c r="O93" i="24"/>
  <c r="O22" i="24"/>
  <c r="O20" i="24"/>
  <c r="O6" i="24"/>
  <c r="F10" i="23"/>
  <c r="O15" i="24"/>
  <c r="O87" i="24"/>
  <c r="O4" i="24"/>
  <c r="O8" i="24"/>
  <c r="O95" i="24"/>
  <c r="O100" i="24"/>
  <c r="O49" i="24"/>
  <c r="O103" i="24"/>
  <c r="O122" i="24"/>
  <c r="O18" i="24"/>
  <c r="O89" i="24"/>
  <c r="B6" i="19"/>
  <c r="B3" i="19" s="1"/>
  <c r="O141" i="24"/>
  <c r="O92" i="24"/>
  <c r="O106" i="24"/>
  <c r="O156" i="24"/>
  <c r="O50" i="24"/>
  <c r="O16" i="24"/>
  <c r="O36" i="24"/>
  <c r="O131" i="24"/>
  <c r="O68" i="24"/>
  <c r="O149" i="24"/>
  <c r="O52" i="24"/>
  <c r="O10" i="24"/>
  <c r="O115" i="24"/>
  <c r="O84" i="24"/>
  <c r="O125" i="24"/>
  <c r="O109" i="24"/>
  <c r="O13" i="24"/>
  <c r="O44" i="24"/>
  <c r="O166" i="24"/>
  <c r="O160" i="24"/>
  <c r="O29" i="24"/>
  <c r="O154" i="24"/>
  <c r="O72" i="24"/>
  <c r="O90" i="24"/>
  <c r="O62" i="24"/>
  <c r="O5" i="24"/>
  <c r="O126" i="24"/>
  <c r="O107" i="24"/>
  <c r="O165" i="24"/>
  <c r="O147" i="24"/>
  <c r="O133" i="24"/>
  <c r="O7" i="24"/>
  <c r="O60" i="24"/>
  <c r="O48" i="24"/>
  <c r="O79" i="24"/>
  <c r="O31" i="24"/>
  <c r="O143" i="24"/>
  <c r="O168" i="24"/>
  <c r="O145" i="24"/>
  <c r="O170" i="24"/>
  <c r="O135" i="24"/>
  <c r="O129" i="24"/>
  <c r="O134" i="24"/>
  <c r="O104" i="24"/>
  <c r="O151" i="24"/>
  <c r="O124" i="24"/>
  <c r="O158" i="24"/>
  <c r="O120" i="24"/>
  <c r="O66" i="24"/>
  <c r="O47" i="24"/>
  <c r="O38" i="24"/>
  <c r="O117" i="24"/>
  <c r="O30" i="24"/>
  <c r="O102" i="24"/>
  <c r="O94" i="24"/>
  <c r="O81" i="24"/>
  <c r="O162" i="24"/>
  <c r="O96" i="24"/>
  <c r="O112" i="24"/>
  <c r="O58" i="24"/>
  <c r="O85" i="24"/>
  <c r="O56" i="24"/>
  <c r="O138" i="24"/>
  <c r="O146" i="24"/>
  <c r="O144" i="24"/>
  <c r="O139" i="24"/>
  <c r="O26" i="24"/>
  <c r="O114" i="24"/>
  <c r="O55" i="24"/>
  <c r="O130" i="24"/>
  <c r="O64" i="24"/>
  <c r="O128" i="24"/>
  <c r="O74" i="24"/>
  <c r="O9" i="24"/>
  <c r="O41" i="24"/>
  <c r="O161" i="24"/>
  <c r="O65" i="24"/>
  <c r="O88" i="24"/>
  <c r="O73" i="24"/>
  <c r="O78" i="24"/>
  <c r="O70" i="24"/>
  <c r="O80" i="24"/>
  <c r="O82" i="24"/>
  <c r="O97" i="24"/>
  <c r="O86" i="24"/>
  <c r="O17" i="24"/>
  <c r="O21" i="24"/>
  <c r="O23" i="24"/>
  <c r="O40" i="24"/>
  <c r="O111" i="24"/>
  <c r="O25" i="24"/>
  <c r="O153" i="24"/>
  <c r="O119" i="24"/>
  <c r="O28" i="24"/>
  <c r="O172" i="24"/>
  <c r="O137" i="24"/>
  <c r="O75" i="24"/>
  <c r="O123" i="24"/>
  <c r="O43" i="24"/>
  <c r="O118" i="24"/>
  <c r="O155" i="24"/>
  <c r="O121" i="24"/>
  <c r="O37" i="24"/>
  <c r="O67" i="24"/>
  <c r="O91" i="24"/>
  <c r="O57" i="24"/>
  <c r="O24" i="24"/>
  <c r="O140" i="24"/>
  <c r="O127" i="24"/>
  <c r="O169" i="24"/>
  <c r="O69" i="24"/>
  <c r="O77" i="24"/>
  <c r="O19" i="24"/>
  <c r="O167" i="24"/>
  <c r="O101" i="24"/>
  <c r="O33" i="24"/>
  <c r="O51" i="24"/>
  <c r="O83" i="24"/>
  <c r="O35" i="24"/>
  <c r="O46" i="24"/>
  <c r="O142" i="24"/>
  <c r="O136" i="24"/>
  <c r="O148" i="24"/>
  <c r="O34" i="24"/>
  <c r="O76" i="24"/>
  <c r="O173" i="24"/>
  <c r="O163" i="24"/>
  <c r="O105" i="24"/>
  <c r="O42" i="24"/>
  <c r="O99" i="24"/>
  <c r="O150" i="24"/>
  <c r="O53" i="24"/>
  <c r="O39" i="24"/>
  <c r="O63" i="24"/>
  <c r="O110" i="24"/>
  <c r="O171" i="24"/>
  <c r="O27" i="24"/>
  <c r="O174" i="24" l="1"/>
  <c r="M35" i="18"/>
  <c r="L35" i="18"/>
  <c r="K35" i="18"/>
  <c r="J35" i="18"/>
  <c r="I35" i="18"/>
  <c r="H35" i="18"/>
  <c r="G35" i="18"/>
  <c r="F35" i="18"/>
  <c r="E35" i="18"/>
  <c r="D35" i="18"/>
  <c r="C35" i="18"/>
  <c r="B35" i="18"/>
  <c r="N35" i="18" s="1"/>
  <c r="N34" i="18"/>
  <c r="N33" i="18"/>
  <c r="N32" i="18"/>
  <c r="N31" i="18"/>
  <c r="M28" i="18"/>
  <c r="L28" i="18"/>
  <c r="K28" i="18"/>
  <c r="J28" i="18"/>
  <c r="I28" i="18"/>
  <c r="H28" i="18"/>
  <c r="G28" i="18"/>
  <c r="F28" i="18"/>
  <c r="N28" i="18" s="1"/>
  <c r="E28" i="18"/>
  <c r="D28" i="18"/>
  <c r="C28" i="18"/>
  <c r="B28" i="18"/>
  <c r="N27" i="18"/>
  <c r="N26" i="18"/>
  <c r="N25" i="18"/>
  <c r="N24" i="18"/>
  <c r="M21" i="18"/>
  <c r="L21" i="18"/>
  <c r="K21" i="18"/>
  <c r="J21" i="18"/>
  <c r="I21" i="18"/>
  <c r="N21" i="18" s="1"/>
  <c r="H21" i="18"/>
  <c r="G21" i="18"/>
  <c r="F21" i="18"/>
  <c r="E21" i="18"/>
  <c r="D21" i="18"/>
  <c r="C21" i="18"/>
  <c r="B21" i="18"/>
  <c r="N20" i="18"/>
  <c r="N19" i="18"/>
  <c r="N18" i="18"/>
  <c r="N17" i="18"/>
  <c r="M14" i="18"/>
  <c r="L14" i="18"/>
  <c r="K14" i="18"/>
  <c r="J14" i="18"/>
  <c r="I14" i="18"/>
  <c r="H14" i="18"/>
  <c r="G14" i="18"/>
  <c r="F14" i="18"/>
  <c r="E14" i="18"/>
  <c r="D14" i="18"/>
  <c r="C14" i="18"/>
  <c r="B14" i="18"/>
  <c r="N14" i="18" s="1"/>
  <c r="N13" i="18"/>
  <c r="N12" i="18"/>
  <c r="N11" i="18"/>
  <c r="N10" i="18"/>
  <c r="M7" i="18"/>
  <c r="L7" i="18"/>
  <c r="K7" i="18"/>
  <c r="J7" i="18"/>
  <c r="I7" i="18"/>
  <c r="H7" i="18"/>
  <c r="G7" i="18"/>
  <c r="F7" i="18"/>
  <c r="E7" i="18"/>
  <c r="D7" i="18"/>
  <c r="C7" i="18"/>
  <c r="B7" i="18"/>
  <c r="N7" i="18" s="1"/>
  <c r="N6" i="18"/>
  <c r="N5" i="18"/>
  <c r="N4" i="18"/>
  <c r="N3" i="18"/>
</calcChain>
</file>

<file path=xl/sharedStrings.xml><?xml version="1.0" encoding="utf-8"?>
<sst xmlns="http://schemas.openxmlformats.org/spreadsheetml/2006/main" count="1651" uniqueCount="543">
  <si>
    <t>No.</t>
    <phoneticPr fontId="4"/>
  </si>
  <si>
    <t>階</t>
    <rPh sb="0" eb="1">
      <t>カイ</t>
    </rPh>
    <phoneticPr fontId="4"/>
  </si>
  <si>
    <t>照明種類</t>
    <rPh sb="0" eb="4">
      <t>ショウメイシュルイ</t>
    </rPh>
    <phoneticPr fontId="4"/>
  </si>
  <si>
    <t>灯数</t>
    <rPh sb="0" eb="2">
      <t>トウスウ</t>
    </rPh>
    <phoneticPr fontId="4"/>
  </si>
  <si>
    <t>台数</t>
    <rPh sb="0" eb="2">
      <t>ダイスウ</t>
    </rPh>
    <phoneticPr fontId="4"/>
  </si>
  <si>
    <t>仕様</t>
    <rPh sb="0" eb="2">
      <t>シヨウ</t>
    </rPh>
    <phoneticPr fontId="4"/>
  </si>
  <si>
    <t>備考</t>
    <rPh sb="0" eb="2">
      <t>ビコウ</t>
    </rPh>
    <phoneticPr fontId="4"/>
  </si>
  <si>
    <t>部屋名</t>
    <rPh sb="0" eb="3">
      <t>ヘヤメイ</t>
    </rPh>
    <phoneticPr fontId="4"/>
  </si>
  <si>
    <t>図面記号</t>
    <rPh sb="0" eb="2">
      <t>ズメン</t>
    </rPh>
    <rPh sb="2" eb="4">
      <t>キゴウ</t>
    </rPh>
    <phoneticPr fontId="4"/>
  </si>
  <si>
    <t>誘導灯</t>
    <rPh sb="0" eb="3">
      <t>ユウドウトウ</t>
    </rPh>
    <phoneticPr fontId="4"/>
  </si>
  <si>
    <t>物品庫</t>
    <rPh sb="0" eb="3">
      <t>ブッピンコ</t>
    </rPh>
    <phoneticPr fontId="6"/>
  </si>
  <si>
    <t>IL60W</t>
    <phoneticPr fontId="6"/>
  </si>
  <si>
    <t>1F</t>
  </si>
  <si>
    <t>風除室</t>
  </si>
  <si>
    <t>屋外</t>
    <rPh sb="0" eb="2">
      <t>オクガイ</t>
    </rPh>
    <phoneticPr fontId="4"/>
  </si>
  <si>
    <t>中央監視室</t>
  </si>
  <si>
    <t>FL40S･W</t>
  </si>
  <si>
    <t>誘導灯B級BL型（直管型）</t>
  </si>
  <si>
    <t>FL20S･W</t>
  </si>
  <si>
    <t>倉庫</t>
  </si>
  <si>
    <t>LW110V60W</t>
  </si>
  <si>
    <t>ロビー</t>
  </si>
  <si>
    <t>FL10W</t>
  </si>
  <si>
    <t>会議室</t>
  </si>
  <si>
    <t xml:space="preserve">FL10W </t>
  </si>
  <si>
    <t>2F</t>
  </si>
  <si>
    <t>ホール</t>
  </si>
  <si>
    <t>市民プール</t>
    <rPh sb="0" eb="2">
      <t>シミン</t>
    </rPh>
    <phoneticPr fontId="4"/>
  </si>
  <si>
    <t>B1</t>
    <phoneticPr fontId="6"/>
  </si>
  <si>
    <t>電気室</t>
    <rPh sb="0" eb="3">
      <t>デンキシツ</t>
    </rPh>
    <phoneticPr fontId="6"/>
  </si>
  <si>
    <t>ボイラー室</t>
    <phoneticPr fontId="6"/>
  </si>
  <si>
    <t>RF200投光器</t>
    <rPh sb="5" eb="8">
      <t>トウコウキ</t>
    </rPh>
    <phoneticPr fontId="6"/>
  </si>
  <si>
    <t>階段</t>
    <rPh sb="0" eb="2">
      <t>カイダン</t>
    </rPh>
    <phoneticPr fontId="6"/>
  </si>
  <si>
    <t>P</t>
  </si>
  <si>
    <t>ポーチ</t>
  </si>
  <si>
    <t>投光器</t>
    <rPh sb="0" eb="3">
      <t>トウコウキ</t>
    </rPh>
    <phoneticPr fontId="6"/>
  </si>
  <si>
    <t>H7</t>
  </si>
  <si>
    <t>玄関</t>
  </si>
  <si>
    <t>ユニバーサルＤＬ</t>
    <phoneticPr fontId="6"/>
  </si>
  <si>
    <t>M</t>
  </si>
  <si>
    <t>I1</t>
  </si>
  <si>
    <t>1F</t>
    <phoneticPr fontId="6"/>
  </si>
  <si>
    <t>ロビー</t>
    <phoneticPr fontId="6"/>
  </si>
  <si>
    <t>ミラー灯</t>
    <rPh sb="3" eb="4">
      <t>トウ</t>
    </rPh>
    <phoneticPr fontId="6"/>
  </si>
  <si>
    <t>A3</t>
  </si>
  <si>
    <t>ロッカー室(男)</t>
  </si>
  <si>
    <t>I3</t>
  </si>
  <si>
    <t>シャワー室（男）</t>
    <rPh sb="4" eb="5">
      <t>シツ</t>
    </rPh>
    <rPh sb="6" eb="7">
      <t>オトコ</t>
    </rPh>
    <phoneticPr fontId="6"/>
  </si>
  <si>
    <t>事務室</t>
    <rPh sb="0" eb="3">
      <t>ジムシツ</t>
    </rPh>
    <phoneticPr fontId="6"/>
  </si>
  <si>
    <t>階段前</t>
  </si>
  <si>
    <t>H9</t>
  </si>
  <si>
    <t>廊下</t>
  </si>
  <si>
    <t>A4</t>
  </si>
  <si>
    <t>I4</t>
  </si>
  <si>
    <t>ロッカー室(女)</t>
  </si>
  <si>
    <t>N</t>
  </si>
  <si>
    <t>シャワー室（女）</t>
    <rPh sb="4" eb="5">
      <t>シツ</t>
    </rPh>
    <rPh sb="6" eb="7">
      <t>オンナ</t>
    </rPh>
    <phoneticPr fontId="6"/>
  </si>
  <si>
    <t>医務室</t>
    <rPh sb="0" eb="3">
      <t>イムシツ</t>
    </rPh>
    <phoneticPr fontId="6"/>
  </si>
  <si>
    <t>器具庫</t>
    <rPh sb="0" eb="3">
      <t>キグコ</t>
    </rPh>
    <phoneticPr fontId="6"/>
  </si>
  <si>
    <t>H4</t>
  </si>
  <si>
    <t>25Mプール周り</t>
  </si>
  <si>
    <t>A</t>
  </si>
  <si>
    <t>25Mプール</t>
  </si>
  <si>
    <t>B</t>
  </si>
  <si>
    <t>C</t>
  </si>
  <si>
    <t>D</t>
  </si>
  <si>
    <t>H10</t>
  </si>
  <si>
    <t>2F</t>
    <phoneticPr fontId="6"/>
  </si>
  <si>
    <t>ホール</t>
    <phoneticPr fontId="6"/>
  </si>
  <si>
    <t>E</t>
  </si>
  <si>
    <t>H8</t>
  </si>
  <si>
    <t>通路</t>
  </si>
  <si>
    <t>D3</t>
  </si>
  <si>
    <t>休憩室1</t>
  </si>
  <si>
    <t>休憩室1</t>
    <phoneticPr fontId="6"/>
  </si>
  <si>
    <t>V202　非常灯</t>
    <rPh sb="5" eb="8">
      <t>ヒジョウトウ</t>
    </rPh>
    <phoneticPr fontId="6"/>
  </si>
  <si>
    <t>休憩室２</t>
    <phoneticPr fontId="6"/>
  </si>
  <si>
    <t>応接室</t>
    <rPh sb="0" eb="3">
      <t>オウセツシツ</t>
    </rPh>
    <phoneticPr fontId="6"/>
  </si>
  <si>
    <t>印刷室</t>
    <rPh sb="0" eb="3">
      <t>インサツシツ</t>
    </rPh>
    <phoneticPr fontId="6"/>
  </si>
  <si>
    <t>便所</t>
    <phoneticPr fontId="6"/>
  </si>
  <si>
    <t>便所</t>
    <rPh sb="0" eb="2">
      <t>ベンジョ</t>
    </rPh>
    <phoneticPr fontId="6"/>
  </si>
  <si>
    <t>職員更衣室</t>
    <rPh sb="0" eb="2">
      <t>ショクイン</t>
    </rPh>
    <rPh sb="2" eb="5">
      <t>コウイシツ</t>
    </rPh>
    <phoneticPr fontId="6"/>
  </si>
  <si>
    <t>FDL18EX-N</t>
    <phoneticPr fontId="6"/>
  </si>
  <si>
    <t>BRF80W</t>
    <phoneticPr fontId="6"/>
  </si>
  <si>
    <t>6V10W</t>
  </si>
  <si>
    <t>FL10</t>
    <phoneticPr fontId="6"/>
  </si>
  <si>
    <t>MF400･L-J/BH</t>
  </si>
  <si>
    <t>JD100/110V250WP-EN</t>
  </si>
  <si>
    <t>FL10W</t>
    <phoneticPr fontId="6"/>
  </si>
  <si>
    <t>A2</t>
  </si>
  <si>
    <t>A5</t>
  </si>
  <si>
    <t>F</t>
  </si>
  <si>
    <t>D6</t>
  </si>
  <si>
    <t>D7</t>
  </si>
  <si>
    <t>L2</t>
  </si>
  <si>
    <t>トイレ</t>
    <phoneticPr fontId="6"/>
  </si>
  <si>
    <t>コップ灯</t>
  </si>
  <si>
    <t>L1</t>
  </si>
  <si>
    <t>A1</t>
  </si>
  <si>
    <t>G</t>
  </si>
  <si>
    <t>ブラケット</t>
  </si>
  <si>
    <t>B2</t>
  </si>
  <si>
    <t>ボイラー室</t>
  </si>
  <si>
    <t>B3</t>
  </si>
  <si>
    <t>循環ろ過室</t>
  </si>
  <si>
    <t>循環ろ過室</t>
    <phoneticPr fontId="6"/>
  </si>
  <si>
    <t>K</t>
  </si>
  <si>
    <t>ミーティングルーム1(医務室)</t>
  </si>
  <si>
    <t>D2</t>
  </si>
  <si>
    <t>ミーティングルーム1(医務室)前</t>
  </si>
  <si>
    <t>医務室側階段</t>
    <rPh sb="0" eb="4">
      <t>イムシツガワ</t>
    </rPh>
    <rPh sb="4" eb="6">
      <t>カイダン</t>
    </rPh>
    <phoneticPr fontId="6"/>
  </si>
  <si>
    <t>観客席下</t>
    <rPh sb="0" eb="2">
      <t>カンキャク</t>
    </rPh>
    <rPh sb="2" eb="3">
      <t>セキ</t>
    </rPh>
    <rPh sb="3" eb="4">
      <t>シタ</t>
    </rPh>
    <phoneticPr fontId="6"/>
  </si>
  <si>
    <t>女子便所</t>
    <rPh sb="0" eb="4">
      <t>ジョシベンジョ</t>
    </rPh>
    <phoneticPr fontId="6"/>
  </si>
  <si>
    <t>身障者便所</t>
    <rPh sb="0" eb="3">
      <t>シンショウシャ</t>
    </rPh>
    <rPh sb="3" eb="5">
      <t>ベンジョ</t>
    </rPh>
    <phoneticPr fontId="6"/>
  </si>
  <si>
    <t>男子便所</t>
    <rPh sb="0" eb="2">
      <t>ダンシ</t>
    </rPh>
    <rPh sb="2" eb="4">
      <t>ベンジョ</t>
    </rPh>
    <phoneticPr fontId="6"/>
  </si>
  <si>
    <t>男子便所</t>
    <rPh sb="0" eb="4">
      <t>ダンシベンジョ</t>
    </rPh>
    <phoneticPr fontId="6"/>
  </si>
  <si>
    <t>女子トイレ２</t>
    <rPh sb="0" eb="2">
      <t>ジョシ</t>
    </rPh>
    <phoneticPr fontId="6"/>
  </si>
  <si>
    <t>女子シャワー室</t>
    <rPh sb="0" eb="2">
      <t>ジョシ</t>
    </rPh>
    <rPh sb="6" eb="7">
      <t>シツ</t>
    </rPh>
    <phoneticPr fontId="6"/>
  </si>
  <si>
    <t>コップ灯</t>
    <phoneticPr fontId="6"/>
  </si>
  <si>
    <t>D1</t>
  </si>
  <si>
    <t>選手集合室側階段</t>
    <rPh sb="0" eb="2">
      <t>センシュ</t>
    </rPh>
    <rPh sb="2" eb="4">
      <t>シュウゴウ</t>
    </rPh>
    <rPh sb="4" eb="5">
      <t>シツ</t>
    </rPh>
    <rPh sb="5" eb="6">
      <t>ガワ</t>
    </rPh>
    <rPh sb="6" eb="8">
      <t>カイダン</t>
    </rPh>
    <phoneticPr fontId="6"/>
  </si>
  <si>
    <t>E</t>
    <phoneticPr fontId="6"/>
  </si>
  <si>
    <t>会議室</t>
    <phoneticPr fontId="6"/>
  </si>
  <si>
    <t>男子トイレ２</t>
    <rPh sb="0" eb="2">
      <t>ダンシ</t>
    </rPh>
    <phoneticPr fontId="6"/>
  </si>
  <si>
    <t>男子シャワー室</t>
    <rPh sb="0" eb="2">
      <t>ダンシ</t>
    </rPh>
    <rPh sb="6" eb="7">
      <t>シツ</t>
    </rPh>
    <phoneticPr fontId="6"/>
  </si>
  <si>
    <t>A7</t>
  </si>
  <si>
    <t>ミーティングルーム2(選手集合室)</t>
  </si>
  <si>
    <t>A8</t>
  </si>
  <si>
    <t>A6</t>
  </si>
  <si>
    <t>器具庫1</t>
  </si>
  <si>
    <t>器具庫3</t>
  </si>
  <si>
    <t>監視員室</t>
  </si>
  <si>
    <t>放送室</t>
  </si>
  <si>
    <t>器具庫（２Ｆ）</t>
    <rPh sb="0" eb="3">
      <t>キグコ</t>
    </rPh>
    <phoneticPr fontId="6"/>
  </si>
  <si>
    <t>Q5</t>
  </si>
  <si>
    <t>50Mプール上部</t>
  </si>
  <si>
    <t>Q2</t>
  </si>
  <si>
    <t>B1</t>
  </si>
  <si>
    <t>LW110V40W</t>
  </si>
  <si>
    <t xml:space="preserve">EFG15EN13 </t>
  </si>
  <si>
    <t>H1</t>
  </si>
  <si>
    <t>H3</t>
  </si>
  <si>
    <t>J1</t>
  </si>
  <si>
    <t>O</t>
  </si>
  <si>
    <t>J3</t>
  </si>
  <si>
    <t>H5</t>
    <phoneticPr fontId="6"/>
  </si>
  <si>
    <t>H2</t>
  </si>
  <si>
    <t>医務室側通路</t>
    <rPh sb="0" eb="3">
      <t>イムシツ</t>
    </rPh>
    <rPh sb="3" eb="4">
      <t>ガワ</t>
    </rPh>
    <phoneticPr fontId="6"/>
  </si>
  <si>
    <t>J2</t>
  </si>
  <si>
    <t>医務室側通路</t>
    <rPh sb="0" eb="4">
      <t>イムシツガワ</t>
    </rPh>
    <phoneticPr fontId="6"/>
  </si>
  <si>
    <t>L3</t>
  </si>
  <si>
    <t>I2</t>
  </si>
  <si>
    <t>選手集合室側通路</t>
    <rPh sb="0" eb="2">
      <t>センシュ</t>
    </rPh>
    <rPh sb="2" eb="4">
      <t>シュウゴウ</t>
    </rPh>
    <rPh sb="4" eb="5">
      <t>シツ</t>
    </rPh>
    <rPh sb="5" eb="6">
      <t>ガワ</t>
    </rPh>
    <rPh sb="6" eb="8">
      <t>ツウロ</t>
    </rPh>
    <phoneticPr fontId="6"/>
  </si>
  <si>
    <t>H6</t>
  </si>
  <si>
    <t>50Mプール横</t>
  </si>
  <si>
    <t>座席</t>
  </si>
  <si>
    <t>Q3</t>
  </si>
  <si>
    <t>Q4</t>
  </si>
  <si>
    <t>PIL12V40WS35E17</t>
  </si>
  <si>
    <t>屋外</t>
    <rPh sb="0" eb="2">
      <t>オクガイ</t>
    </rPh>
    <phoneticPr fontId="6"/>
  </si>
  <si>
    <t>外灯</t>
    <rPh sb="0" eb="2">
      <t>ガイトウ</t>
    </rPh>
    <phoneticPr fontId="6"/>
  </si>
  <si>
    <t>ブラケット</t>
    <phoneticPr fontId="6"/>
  </si>
  <si>
    <t>防犯灯</t>
    <rPh sb="0" eb="3">
      <t>ボウハントウ</t>
    </rPh>
    <phoneticPr fontId="6"/>
  </si>
  <si>
    <t>MF250</t>
    <phoneticPr fontId="6"/>
  </si>
  <si>
    <t>FHT42×1</t>
    <phoneticPr fontId="6"/>
  </si>
  <si>
    <t>RF300</t>
    <phoneticPr fontId="6"/>
  </si>
  <si>
    <t>電気室自家発室</t>
    <rPh sb="6" eb="7">
      <t>シツ</t>
    </rPh>
    <phoneticPr fontId="6"/>
  </si>
  <si>
    <t>プール上部(安定器置場)</t>
    <rPh sb="3" eb="5">
      <t>ジョウブ</t>
    </rPh>
    <rPh sb="6" eb="9">
      <t>アンテイキ</t>
    </rPh>
    <rPh sb="9" eb="10">
      <t>オ</t>
    </rPh>
    <rPh sb="10" eb="11">
      <t>バ</t>
    </rPh>
    <phoneticPr fontId="4"/>
  </si>
  <si>
    <t>IL100W</t>
    <phoneticPr fontId="4"/>
  </si>
  <si>
    <t>I6</t>
    <phoneticPr fontId="4"/>
  </si>
  <si>
    <t>PIL12V40WS35E17</t>
    <phoneticPr fontId="4"/>
  </si>
  <si>
    <t>非常灯　電源別置</t>
    <rPh sb="4" eb="8">
      <t>デンゲンベッチ</t>
    </rPh>
    <phoneticPr fontId="4"/>
  </si>
  <si>
    <t>IL40W</t>
    <phoneticPr fontId="4"/>
  </si>
  <si>
    <t>非常灯　電源別置　WP</t>
    <rPh sb="4" eb="8">
      <t>デンゲンベッチ</t>
    </rPh>
    <phoneticPr fontId="4"/>
  </si>
  <si>
    <t>ホール(採暖室手前)</t>
    <rPh sb="4" eb="9">
      <t>サイダンシツテマエ</t>
    </rPh>
    <phoneticPr fontId="6"/>
  </si>
  <si>
    <t>FL20W＋IL40W</t>
    <phoneticPr fontId="4"/>
  </si>
  <si>
    <t>逆富士</t>
    <phoneticPr fontId="4"/>
  </si>
  <si>
    <t>FL40W</t>
    <phoneticPr fontId="4"/>
  </si>
  <si>
    <t>FL20W</t>
    <phoneticPr fontId="4"/>
  </si>
  <si>
    <t>FL40W＋IL40W</t>
    <phoneticPr fontId="4"/>
  </si>
  <si>
    <t>FL20W</t>
    <phoneticPr fontId="6"/>
  </si>
  <si>
    <t xml:space="preserve">EFG15EN13 </t>
    <phoneticPr fontId="4"/>
  </si>
  <si>
    <t>MF250W</t>
    <phoneticPr fontId="4"/>
  </si>
  <si>
    <t>MF1000W</t>
    <phoneticPr fontId="4"/>
  </si>
  <si>
    <t>FL40W</t>
    <phoneticPr fontId="6"/>
  </si>
  <si>
    <t>片反射笠付</t>
    <phoneticPr fontId="4"/>
  </si>
  <si>
    <t>埋込</t>
    <phoneticPr fontId="4"/>
  </si>
  <si>
    <t>笠付</t>
    <phoneticPr fontId="4"/>
  </si>
  <si>
    <t>ダウンライト</t>
    <phoneticPr fontId="4"/>
  </si>
  <si>
    <t>シーリング　WP　SUS</t>
    <phoneticPr fontId="4"/>
  </si>
  <si>
    <t>投光器　重耐塩仕様</t>
    <rPh sb="4" eb="6">
      <t>ジュウタイ</t>
    </rPh>
    <rPh sb="6" eb="7">
      <t>シオ</t>
    </rPh>
    <rPh sb="7" eb="9">
      <t>シヨウ</t>
    </rPh>
    <phoneticPr fontId="4"/>
  </si>
  <si>
    <t>投光器　重耐塩仕様</t>
    <phoneticPr fontId="4"/>
  </si>
  <si>
    <t>逆富士　ＷＰ</t>
    <rPh sb="0" eb="3">
      <t>ギャクフジ</t>
    </rPh>
    <phoneticPr fontId="6"/>
  </si>
  <si>
    <t>非常灯　電源別置</t>
    <rPh sb="2" eb="3">
      <t>トウ</t>
    </rPh>
    <rPh sb="4" eb="8">
      <t>デンゲンベッチ</t>
    </rPh>
    <phoneticPr fontId="4"/>
  </si>
  <si>
    <t>埋込</t>
    <rPh sb="0" eb="1">
      <t>ウ</t>
    </rPh>
    <rPh sb="1" eb="2">
      <t>コ</t>
    </rPh>
    <phoneticPr fontId="6"/>
  </si>
  <si>
    <t>埋込</t>
    <rPh sb="0" eb="2">
      <t>ウメコミ</t>
    </rPh>
    <phoneticPr fontId="6"/>
  </si>
  <si>
    <t>埋込　SUS</t>
    <rPh sb="0" eb="2">
      <t>ウメコミ</t>
    </rPh>
    <phoneticPr fontId="6"/>
  </si>
  <si>
    <t>埋込　プリズム</t>
    <rPh sb="0" eb="2">
      <t>ウメコミ</t>
    </rPh>
    <phoneticPr fontId="6"/>
  </si>
  <si>
    <t>投光器　重耐塩仕様</t>
    <rPh sb="4" eb="5">
      <t>ジュウ</t>
    </rPh>
    <rPh sb="5" eb="7">
      <t>タイエン</t>
    </rPh>
    <rPh sb="7" eb="9">
      <t>シヨウ</t>
    </rPh>
    <phoneticPr fontId="4"/>
  </si>
  <si>
    <t>投光器　非常灯？　重耐塩仕様</t>
    <rPh sb="4" eb="7">
      <t>ヒジョウトウ</t>
    </rPh>
    <phoneticPr fontId="4"/>
  </si>
  <si>
    <t>湯沸室</t>
    <rPh sb="0" eb="2">
      <t>ユワカシ</t>
    </rPh>
    <rPh sb="2" eb="3">
      <t>シツ</t>
    </rPh>
    <phoneticPr fontId="6"/>
  </si>
  <si>
    <t>LED</t>
    <phoneticPr fontId="4"/>
  </si>
  <si>
    <t>便所（男）</t>
    <rPh sb="0" eb="2">
      <t>ベンジョ</t>
    </rPh>
    <rPh sb="3" eb="4">
      <t>オトコ</t>
    </rPh>
    <phoneticPr fontId="6"/>
  </si>
  <si>
    <t>便所（女）</t>
    <rPh sb="0" eb="2">
      <t>ベンジョ</t>
    </rPh>
    <rPh sb="3" eb="4">
      <t>オンナ</t>
    </rPh>
    <phoneticPr fontId="6"/>
  </si>
  <si>
    <t>25Mプール周り</t>
    <phoneticPr fontId="4"/>
  </si>
  <si>
    <t>ダウンライト　軒下用　WP</t>
    <rPh sb="7" eb="9">
      <t>ノキシタ</t>
    </rPh>
    <rPh sb="9" eb="10">
      <t>ヨウ</t>
    </rPh>
    <phoneticPr fontId="6"/>
  </si>
  <si>
    <t>逆富士</t>
    <rPh sb="0" eb="3">
      <t>ギャクフジ</t>
    </rPh>
    <phoneticPr fontId="6"/>
  </si>
  <si>
    <t>ダウンライト　WP</t>
    <phoneticPr fontId="6"/>
  </si>
  <si>
    <t>採暖室</t>
    <rPh sb="0" eb="3">
      <t>サイダンシツ</t>
    </rPh>
    <phoneticPr fontId="4"/>
  </si>
  <si>
    <t>避難口誘導灯B級BL型（直管型）</t>
    <rPh sb="0" eb="3">
      <t>ヒナングチ</t>
    </rPh>
    <phoneticPr fontId="4"/>
  </si>
  <si>
    <t>通路誘導灯B級BL型（直管型）</t>
    <rPh sb="0" eb="2">
      <t>ツウロ</t>
    </rPh>
    <phoneticPr fontId="4"/>
  </si>
  <si>
    <t>避難口誘導灯A級（直管型）</t>
    <rPh sb="0" eb="3">
      <t>ヒナングチ</t>
    </rPh>
    <rPh sb="3" eb="6">
      <t>ユウドウトウ</t>
    </rPh>
    <phoneticPr fontId="4"/>
  </si>
  <si>
    <t>通路誘導灯C級（直管型）</t>
    <rPh sb="0" eb="2">
      <t>ツウロ</t>
    </rPh>
    <phoneticPr fontId="4"/>
  </si>
  <si>
    <t>避難口誘導灯A級（直管型）</t>
    <rPh sb="0" eb="3">
      <t>ヒナングチ</t>
    </rPh>
    <phoneticPr fontId="4"/>
  </si>
  <si>
    <t>避難口誘導灯</t>
    <rPh sb="0" eb="3">
      <t>ヒナングチ</t>
    </rPh>
    <rPh sb="3" eb="6">
      <t>ユウドウトウ</t>
    </rPh>
    <phoneticPr fontId="4"/>
  </si>
  <si>
    <t>避難口誘導灯B級BH型（直管型）</t>
    <rPh sb="0" eb="3">
      <t>ヒナングチ</t>
    </rPh>
    <phoneticPr fontId="4"/>
  </si>
  <si>
    <t>I5</t>
    <phoneticPr fontId="4"/>
  </si>
  <si>
    <t>通路誘導灯B級（直管型）</t>
    <rPh sb="0" eb="2">
      <t>ツウロ</t>
    </rPh>
    <rPh sb="2" eb="5">
      <t>ユウドウトウ</t>
    </rPh>
    <phoneticPr fontId="6"/>
  </si>
  <si>
    <t>直付</t>
    <rPh sb="0" eb="2">
      <t>ジカヅ</t>
    </rPh>
    <phoneticPr fontId="4"/>
  </si>
  <si>
    <t>HF100W</t>
    <phoneticPr fontId="6"/>
  </si>
  <si>
    <t>更衣室(女)</t>
    <rPh sb="0" eb="3">
      <t>コウイシツ</t>
    </rPh>
    <rPh sb="4" eb="5">
      <t>オンナ</t>
    </rPh>
    <phoneticPr fontId="4"/>
  </si>
  <si>
    <t>埋込　スクエア□1000</t>
    <phoneticPr fontId="6"/>
  </si>
  <si>
    <t>埋込　スクエア□600</t>
    <phoneticPr fontId="6"/>
  </si>
  <si>
    <t>埋込W300</t>
    <phoneticPr fontId="4"/>
  </si>
  <si>
    <t>階段</t>
    <rPh sb="0" eb="2">
      <t>カイダン</t>
    </rPh>
    <phoneticPr fontId="4"/>
  </si>
  <si>
    <t>笠付</t>
    <phoneticPr fontId="6"/>
  </si>
  <si>
    <t>RF200</t>
    <phoneticPr fontId="6"/>
  </si>
  <si>
    <t>片反射</t>
    <rPh sb="0" eb="3">
      <t>カタハンシャ</t>
    </rPh>
    <phoneticPr fontId="6"/>
  </si>
  <si>
    <t>埋込　</t>
    <rPh sb="0" eb="2">
      <t>ウメコミ</t>
    </rPh>
    <phoneticPr fontId="6"/>
  </si>
  <si>
    <t>流し元灯</t>
    <rPh sb="0" eb="1">
      <t>ナガ</t>
    </rPh>
    <rPh sb="2" eb="3">
      <t>モト</t>
    </rPh>
    <rPh sb="3" eb="4">
      <t>トウ</t>
    </rPh>
    <phoneticPr fontId="6"/>
  </si>
  <si>
    <t>埋込　WP</t>
    <rPh sb="0" eb="2">
      <t>ウメコミ</t>
    </rPh>
    <phoneticPr fontId="6"/>
  </si>
  <si>
    <t>逆富士　WP</t>
    <rPh sb="0" eb="3">
      <t>ギャクフジ</t>
    </rPh>
    <phoneticPr fontId="6"/>
  </si>
  <si>
    <t>表示灯</t>
    <rPh sb="0" eb="3">
      <t>ヒョウジトウ</t>
    </rPh>
    <phoneticPr fontId="6"/>
  </si>
  <si>
    <t>逆富士　WP　電池内蔵</t>
    <rPh sb="0" eb="3">
      <t>ギャクフジ</t>
    </rPh>
    <rPh sb="7" eb="11">
      <t>デンチナイゾウ</t>
    </rPh>
    <phoneticPr fontId="6"/>
  </si>
  <si>
    <t>埋込W300　電池内蔵</t>
    <rPh sb="7" eb="11">
      <t>デンチナイゾウ</t>
    </rPh>
    <phoneticPr fontId="4"/>
  </si>
  <si>
    <t>半埋込</t>
    <rPh sb="0" eb="1">
      <t>ハン</t>
    </rPh>
    <rPh sb="1" eb="3">
      <t>ウメコミ</t>
    </rPh>
    <phoneticPr fontId="4"/>
  </si>
  <si>
    <t>笠付</t>
    <rPh sb="0" eb="2">
      <t>カサツキ</t>
    </rPh>
    <phoneticPr fontId="6"/>
  </si>
  <si>
    <t>埋込　スクエア□900</t>
    <rPh sb="0" eb="2">
      <t>ウメコミ</t>
    </rPh>
    <phoneticPr fontId="6"/>
  </si>
  <si>
    <t>半埋込</t>
    <rPh sb="0" eb="1">
      <t>ハン</t>
    </rPh>
    <rPh sb="1" eb="3">
      <t>ウメコミ</t>
    </rPh>
    <phoneticPr fontId="6"/>
  </si>
  <si>
    <t>非常灯　電池内蔵</t>
    <rPh sb="0" eb="3">
      <t>ヒジョウトウ</t>
    </rPh>
    <rPh sb="4" eb="8">
      <t>デンチナイゾウ</t>
    </rPh>
    <phoneticPr fontId="4"/>
  </si>
  <si>
    <t>非常灯　電池内蔵　WP</t>
    <rPh sb="0" eb="3">
      <t>ヒジョウトウ</t>
    </rPh>
    <rPh sb="4" eb="8">
      <t>デンチナイゾウ</t>
    </rPh>
    <phoneticPr fontId="4"/>
  </si>
  <si>
    <t>玄関・ロビー</t>
    <rPh sb="0" eb="2">
      <t>ゲンカン</t>
    </rPh>
    <phoneticPr fontId="4"/>
  </si>
  <si>
    <t>N</t>
    <phoneticPr fontId="4"/>
  </si>
  <si>
    <t>逆富士　電池内蔵</t>
    <rPh sb="4" eb="8">
      <t>デンチナイゾウ</t>
    </rPh>
    <phoneticPr fontId="4"/>
  </si>
  <si>
    <t>逆富士　電池内蔵</t>
    <rPh sb="0" eb="3">
      <t>ギャクフジ</t>
    </rPh>
    <rPh sb="4" eb="8">
      <t>デンチナイゾウ</t>
    </rPh>
    <phoneticPr fontId="4"/>
  </si>
  <si>
    <t>LW36W</t>
    <phoneticPr fontId="4"/>
  </si>
  <si>
    <t>ブラケット</t>
    <phoneticPr fontId="4"/>
  </si>
  <si>
    <t>ホール(採暖室外)</t>
    <rPh sb="4" eb="7">
      <t>サイダンシツ</t>
    </rPh>
    <rPh sb="7" eb="8">
      <t>ソト</t>
    </rPh>
    <phoneticPr fontId="6"/>
  </si>
  <si>
    <t>H2</t>
    <phoneticPr fontId="4"/>
  </si>
  <si>
    <t>投光器（保安灯）　重耐塩仕様</t>
    <rPh sb="4" eb="7">
      <t>ホアントウ</t>
    </rPh>
    <rPh sb="9" eb="10">
      <t>ジュウ</t>
    </rPh>
    <rPh sb="10" eb="12">
      <t>タイエン</t>
    </rPh>
    <rPh sb="12" eb="14">
      <t>シヨウ</t>
    </rPh>
    <phoneticPr fontId="6"/>
  </si>
  <si>
    <t>非常灯　電源別置　重耐塩仕様</t>
    <rPh sb="4" eb="8">
      <t>デンゲンベッチ</t>
    </rPh>
    <rPh sb="9" eb="10">
      <t>ジュウ</t>
    </rPh>
    <rPh sb="10" eb="12">
      <t>タイエン</t>
    </rPh>
    <rPh sb="12" eb="14">
      <t>シヨウ</t>
    </rPh>
    <phoneticPr fontId="4"/>
  </si>
  <si>
    <t>R6年度</t>
    <rPh sb="2" eb="4">
      <t>ネンド</t>
    </rPh>
    <phoneticPr fontId="4"/>
  </si>
  <si>
    <t>平均</t>
    <rPh sb="0" eb="2">
      <t>ヘイキン</t>
    </rPh>
    <phoneticPr fontId="4"/>
  </si>
  <si>
    <t>使用電力量(kWh)</t>
    <rPh sb="0" eb="5">
      <t>シヨウデンリョクリョウ</t>
    </rPh>
    <phoneticPr fontId="4"/>
  </si>
  <si>
    <t>電力量料金</t>
    <rPh sb="0" eb="3">
      <t>デンリョクリョウ</t>
    </rPh>
    <rPh sb="3" eb="5">
      <t>リョウキン</t>
    </rPh>
    <phoneticPr fontId="4"/>
  </si>
  <si>
    <t>燃料費調整額</t>
    <rPh sb="0" eb="3">
      <t>ネンリョウヒ</t>
    </rPh>
    <rPh sb="3" eb="6">
      <t>チョウセイガク</t>
    </rPh>
    <phoneticPr fontId="4"/>
  </si>
  <si>
    <t>再エネ発電賦課金</t>
    <rPh sb="0" eb="1">
      <t>サイ</t>
    </rPh>
    <rPh sb="3" eb="5">
      <t>ハツデン</t>
    </rPh>
    <rPh sb="5" eb="8">
      <t>フカキン</t>
    </rPh>
    <phoneticPr fontId="4"/>
  </si>
  <si>
    <t>電力量単価</t>
    <rPh sb="0" eb="5">
      <t>デンリョクリョウタンカ</t>
    </rPh>
    <phoneticPr fontId="4"/>
  </si>
  <si>
    <t>R5年度</t>
    <rPh sb="2" eb="4">
      <t>ネンド</t>
    </rPh>
    <phoneticPr fontId="4"/>
  </si>
  <si>
    <t>R4年度</t>
    <rPh sb="2" eb="4">
      <t>ネンド</t>
    </rPh>
    <phoneticPr fontId="4"/>
  </si>
  <si>
    <t>R3年度</t>
    <rPh sb="2" eb="4">
      <t>ネンド</t>
    </rPh>
    <phoneticPr fontId="4"/>
  </si>
  <si>
    <t>R2年度</t>
    <rPh sb="2" eb="4">
      <t>ネンド</t>
    </rPh>
    <phoneticPr fontId="4"/>
  </si>
  <si>
    <t>設定ベースライン</t>
    <rPh sb="0" eb="2">
      <t>セッテイ</t>
    </rPh>
    <phoneticPr fontId="4"/>
  </si>
  <si>
    <t>直近36ヶ月中12か月当り平均</t>
    <rPh sb="0" eb="2">
      <t>チョッキン</t>
    </rPh>
    <rPh sb="5" eb="6">
      <t>ゲツ</t>
    </rPh>
    <rPh sb="6" eb="7">
      <t>チュウ</t>
    </rPh>
    <rPh sb="10" eb="11">
      <t>ゲツ</t>
    </rPh>
    <rPh sb="11" eb="12">
      <t>アタ</t>
    </rPh>
    <rPh sb="13" eb="15">
      <t>ヘイキン</t>
    </rPh>
    <phoneticPr fontId="4"/>
  </si>
  <si>
    <t>照明設備分含む全使用電力</t>
    <rPh sb="0" eb="2">
      <t>ショウメイ</t>
    </rPh>
    <rPh sb="2" eb="4">
      <t>セツビ</t>
    </rPh>
    <rPh sb="4" eb="5">
      <t>ブン</t>
    </rPh>
    <rPh sb="5" eb="6">
      <t>フク</t>
    </rPh>
    <rPh sb="7" eb="8">
      <t>ゼン</t>
    </rPh>
    <rPh sb="8" eb="12">
      <t>シヨウデンリョク</t>
    </rPh>
    <phoneticPr fontId="4"/>
  </si>
  <si>
    <t>電力料金</t>
    <rPh sb="0" eb="4">
      <t>デンリョクリョウキン</t>
    </rPh>
    <phoneticPr fontId="4"/>
  </si>
  <si>
    <t>燃料費調整額</t>
    <rPh sb="0" eb="6">
      <t>ネンリョウヒチョウセイガク</t>
    </rPh>
    <phoneticPr fontId="4"/>
  </si>
  <si>
    <t>電力単価</t>
    <rPh sb="0" eb="4">
      <t>デンリョクタンカ</t>
    </rPh>
    <phoneticPr fontId="4"/>
  </si>
  <si>
    <t>R6.2</t>
  </si>
  <si>
    <t>R6.3</t>
  </si>
  <si>
    <t>R6.4</t>
  </si>
  <si>
    <t>R6.5</t>
  </si>
  <si>
    <t>R6.6</t>
  </si>
  <si>
    <t>R6.7</t>
  </si>
  <si>
    <t>R6.8</t>
  </si>
  <si>
    <t>R6.9</t>
  </si>
  <si>
    <t>R6.10</t>
  </si>
  <si>
    <t>R6.11</t>
    <phoneticPr fontId="4"/>
  </si>
  <si>
    <t>R6.12</t>
    <phoneticPr fontId="4"/>
  </si>
  <si>
    <t>R7.1</t>
    <phoneticPr fontId="4"/>
  </si>
  <si>
    <t>合計</t>
    <rPh sb="0" eb="2">
      <t>ゴウケイ</t>
    </rPh>
    <phoneticPr fontId="4"/>
  </si>
  <si>
    <t>月平均</t>
    <rPh sb="0" eb="3">
      <t>ツキヘイキン</t>
    </rPh>
    <phoneticPr fontId="4"/>
  </si>
  <si>
    <t>燃料費調整額</t>
    <rPh sb="0" eb="3">
      <t>ネンリョウヒ</t>
    </rPh>
    <rPh sb="3" eb="5">
      <t>チョウセイ</t>
    </rPh>
    <rPh sb="5" eb="6">
      <t>ガク</t>
    </rPh>
    <phoneticPr fontId="4"/>
  </si>
  <si>
    <t>電力単価</t>
    <rPh sb="0" eb="2">
      <t>デンリョク</t>
    </rPh>
    <rPh sb="2" eb="4">
      <t>タンカ</t>
    </rPh>
    <phoneticPr fontId="4"/>
  </si>
  <si>
    <t>R5.2</t>
  </si>
  <si>
    <t>R5.3</t>
  </si>
  <si>
    <t>R5.4</t>
  </si>
  <si>
    <t>R5.5</t>
  </si>
  <si>
    <t>R5.6</t>
  </si>
  <si>
    <t>R5.7</t>
  </si>
  <si>
    <t>R5.8</t>
  </si>
  <si>
    <t>R5.9</t>
  </si>
  <si>
    <t>R5.10</t>
  </si>
  <si>
    <t>R5.11</t>
    <phoneticPr fontId="4"/>
  </si>
  <si>
    <t>R5.12</t>
    <phoneticPr fontId="4"/>
  </si>
  <si>
    <t>R6.1</t>
    <phoneticPr fontId="4"/>
  </si>
  <si>
    <t>R4.2</t>
  </si>
  <si>
    <t>R4.3</t>
  </si>
  <si>
    <t>R4.4</t>
  </si>
  <si>
    <t>R4.5</t>
  </si>
  <si>
    <t>R4.6</t>
  </si>
  <si>
    <t>R4.7</t>
  </si>
  <si>
    <t>R4.8</t>
  </si>
  <si>
    <t>R4.9</t>
  </si>
  <si>
    <t>R4.10</t>
  </si>
  <si>
    <t>R4.11</t>
    <phoneticPr fontId="4"/>
  </si>
  <si>
    <t>R4.12</t>
    <phoneticPr fontId="4"/>
  </si>
  <si>
    <t>R5.1</t>
    <phoneticPr fontId="4"/>
  </si>
  <si>
    <t>照明設備稼働時間</t>
    <rPh sb="0" eb="2">
      <t>ショウメイ</t>
    </rPh>
    <rPh sb="2" eb="4">
      <t>セツビ</t>
    </rPh>
    <rPh sb="4" eb="8">
      <t>カドウジカン</t>
    </rPh>
    <phoneticPr fontId="4"/>
  </si>
  <si>
    <t>室種別名称</t>
    <rPh sb="0" eb="1">
      <t>シツ</t>
    </rPh>
    <rPh sb="1" eb="3">
      <t>シュベツ</t>
    </rPh>
    <rPh sb="3" eb="5">
      <t>メイショウ</t>
    </rPh>
    <phoneticPr fontId="4"/>
  </si>
  <si>
    <t>稼働時間帯</t>
    <rPh sb="0" eb="5">
      <t>カドウジカンタイ</t>
    </rPh>
    <phoneticPr fontId="4"/>
  </si>
  <si>
    <t>稼働時間
ｈ/ｄ</t>
    <rPh sb="0" eb="4">
      <t>カドウジカン</t>
    </rPh>
    <phoneticPr fontId="4"/>
  </si>
  <si>
    <t>稼働日数
ｄ/ｙ</t>
    <rPh sb="0" eb="2">
      <t>カドウ</t>
    </rPh>
    <rPh sb="2" eb="4">
      <t>ニッスウ</t>
    </rPh>
    <phoneticPr fontId="4"/>
  </si>
  <si>
    <t>年間稼働時間
ｈ/ｙ</t>
    <rPh sb="0" eb="2">
      <t>ネンカン</t>
    </rPh>
    <rPh sb="2" eb="6">
      <t>カドウジカン</t>
    </rPh>
    <phoneticPr fontId="4"/>
  </si>
  <si>
    <t>執務室</t>
    <rPh sb="0" eb="3">
      <t>シツムシツ</t>
    </rPh>
    <phoneticPr fontId="4"/>
  </si>
  <si>
    <t>共用部</t>
    <rPh sb="0" eb="3">
      <t>キョウヨウブ</t>
    </rPh>
    <phoneticPr fontId="4"/>
  </si>
  <si>
    <t>便所</t>
    <rPh sb="0" eb="2">
      <t>ベンジョ</t>
    </rPh>
    <phoneticPr fontId="4"/>
  </si>
  <si>
    <t>湯沸室</t>
    <rPh sb="0" eb="2">
      <t>ユワカシ</t>
    </rPh>
    <rPh sb="2" eb="3">
      <t>シツ</t>
    </rPh>
    <phoneticPr fontId="4"/>
  </si>
  <si>
    <t>更衣室</t>
    <rPh sb="0" eb="3">
      <t>コウイシツ</t>
    </rPh>
    <phoneticPr fontId="4"/>
  </si>
  <si>
    <t>登庁時，退庁時0.5ｈ</t>
    <rPh sb="0" eb="2">
      <t>トウチョウ</t>
    </rPh>
    <rPh sb="2" eb="3">
      <t>ジ</t>
    </rPh>
    <rPh sb="4" eb="7">
      <t>タイチョウジ</t>
    </rPh>
    <phoneticPr fontId="4"/>
  </si>
  <si>
    <t>倉庫等</t>
    <rPh sb="0" eb="2">
      <t>ソウコ</t>
    </rPh>
    <rPh sb="2" eb="3">
      <t>トウ</t>
    </rPh>
    <phoneticPr fontId="4"/>
  </si>
  <si>
    <t>00：00～24：00</t>
    <phoneticPr fontId="4"/>
  </si>
  <si>
    <t>外灯</t>
    <rPh sb="0" eb="2">
      <t>ガイトウ</t>
    </rPh>
    <phoneticPr fontId="4"/>
  </si>
  <si>
    <t>非常用照明</t>
    <rPh sb="0" eb="5">
      <t>ヒジョウヨウショウメイ</t>
    </rPh>
    <phoneticPr fontId="4"/>
  </si>
  <si>
    <t>照明器具一覧</t>
    <rPh sb="0" eb="4">
      <t>ショウメイキグ</t>
    </rPh>
    <rPh sb="4" eb="6">
      <t>イチラン</t>
    </rPh>
    <phoneticPr fontId="4"/>
  </si>
  <si>
    <t>№</t>
    <phoneticPr fontId="4"/>
  </si>
  <si>
    <t>検索用</t>
    <rPh sb="0" eb="3">
      <t>ケンサクヨウ</t>
    </rPh>
    <phoneticPr fontId="4"/>
  </si>
  <si>
    <t>照明器具</t>
    <rPh sb="0" eb="4">
      <t>ショウメイキグ</t>
    </rPh>
    <phoneticPr fontId="4"/>
  </si>
  <si>
    <t>照明器具仕様</t>
    <rPh sb="0" eb="6">
      <t>ショウメイキグシヨウ</t>
    </rPh>
    <phoneticPr fontId="4"/>
  </si>
  <si>
    <t>消費電力　W/台</t>
    <rPh sb="0" eb="4">
      <t>ショウヒデンリョク</t>
    </rPh>
    <rPh sb="7" eb="8">
      <t>ダイ</t>
    </rPh>
    <phoneticPr fontId="4"/>
  </si>
  <si>
    <t>1F</t>
    <phoneticPr fontId="4"/>
  </si>
  <si>
    <t>照明器具
（更新対象）</t>
    <rPh sb="0" eb="2">
      <t>ショウメイ</t>
    </rPh>
    <rPh sb="2" eb="4">
      <t>キグ</t>
    </rPh>
    <rPh sb="6" eb="10">
      <t>コウシンタイショウ</t>
    </rPh>
    <phoneticPr fontId="4"/>
  </si>
  <si>
    <t>照明器具
（更新対象外）</t>
    <rPh sb="0" eb="2">
      <t>ショウメイ</t>
    </rPh>
    <rPh sb="2" eb="4">
      <t>キグ</t>
    </rPh>
    <rPh sb="6" eb="8">
      <t>コウシン</t>
    </rPh>
    <rPh sb="8" eb="11">
      <t>タイショウガイ</t>
    </rPh>
    <phoneticPr fontId="4"/>
  </si>
  <si>
    <t>誘導灯
（更新対象）</t>
    <rPh sb="0" eb="3">
      <t>ユウドウトウ</t>
    </rPh>
    <rPh sb="5" eb="9">
      <t>コウシンタイショウ</t>
    </rPh>
    <phoneticPr fontId="4"/>
  </si>
  <si>
    <t>非常照明
（更新対象）</t>
    <rPh sb="0" eb="2">
      <t>ヒジョウ</t>
    </rPh>
    <rPh sb="2" eb="4">
      <t>ショウメイ</t>
    </rPh>
    <rPh sb="6" eb="10">
      <t>コウシンタイショウ</t>
    </rPh>
    <phoneticPr fontId="4"/>
  </si>
  <si>
    <t>更新
対象</t>
    <rPh sb="0" eb="2">
      <t>コウシン</t>
    </rPh>
    <rPh sb="3" eb="5">
      <t>タイショウ</t>
    </rPh>
    <phoneticPr fontId="4"/>
  </si>
  <si>
    <t>室種別名称</t>
    <rPh sb="0" eb="3">
      <t>シツシュベツ</t>
    </rPh>
    <rPh sb="3" eb="5">
      <t>メイショウ</t>
    </rPh>
    <phoneticPr fontId="4"/>
  </si>
  <si>
    <t>年間
点灯時間</t>
    <rPh sb="0" eb="2">
      <t>ネンカン</t>
    </rPh>
    <rPh sb="3" eb="5">
      <t>テントウ</t>
    </rPh>
    <rPh sb="5" eb="7">
      <t>ジカン</t>
    </rPh>
    <phoneticPr fontId="4"/>
  </si>
  <si>
    <t>消費電力
(W/台)</t>
    <rPh sb="0" eb="4">
      <t>ショウヒデンリョク</t>
    </rPh>
    <rPh sb="8" eb="9">
      <t>ダイ</t>
    </rPh>
    <phoneticPr fontId="4"/>
  </si>
  <si>
    <t>稼働率</t>
    <rPh sb="0" eb="3">
      <t>カドウリツ</t>
    </rPh>
    <phoneticPr fontId="4"/>
  </si>
  <si>
    <t>O-1</t>
    <phoneticPr fontId="4"/>
  </si>
  <si>
    <t>■</t>
  </si>
  <si>
    <t>O-2</t>
    <phoneticPr fontId="4"/>
  </si>
  <si>
    <t>O-3</t>
  </si>
  <si>
    <t>O-4</t>
  </si>
  <si>
    <t>□</t>
  </si>
  <si>
    <t>FL+G60:J8020S･W</t>
    <phoneticPr fontId="4"/>
  </si>
  <si>
    <t>O-5</t>
  </si>
  <si>
    <t>O-6</t>
  </si>
  <si>
    <t>25M-1</t>
    <phoneticPr fontId="4"/>
  </si>
  <si>
    <t>25M-2</t>
    <phoneticPr fontId="4"/>
  </si>
  <si>
    <t>25M-3</t>
  </si>
  <si>
    <t>25M-4</t>
  </si>
  <si>
    <t>25M-5</t>
  </si>
  <si>
    <t>25M-6</t>
  </si>
  <si>
    <t>25M-7</t>
  </si>
  <si>
    <t>25M-8</t>
  </si>
  <si>
    <t>25M-9</t>
  </si>
  <si>
    <t>25M-10</t>
  </si>
  <si>
    <t>25M-11</t>
  </si>
  <si>
    <t>25M-12</t>
  </si>
  <si>
    <t>25M-13</t>
  </si>
  <si>
    <t>25M-14</t>
  </si>
  <si>
    <t>25M-15</t>
  </si>
  <si>
    <t>25M-16</t>
  </si>
  <si>
    <t>25M-17</t>
  </si>
  <si>
    <t>25M-18</t>
  </si>
  <si>
    <t>25M-19</t>
  </si>
  <si>
    <t>25M-20</t>
  </si>
  <si>
    <t>25M-21</t>
  </si>
  <si>
    <t>25M-22</t>
  </si>
  <si>
    <t>25M-23</t>
  </si>
  <si>
    <t>25M-24</t>
  </si>
  <si>
    <t>25M-25</t>
  </si>
  <si>
    <t>25M-26</t>
  </si>
  <si>
    <t>25M-27</t>
  </si>
  <si>
    <t>25M-28</t>
  </si>
  <si>
    <t>25M-29</t>
  </si>
  <si>
    <t>25M-30</t>
  </si>
  <si>
    <t>25M-31</t>
  </si>
  <si>
    <t>25M-32</t>
  </si>
  <si>
    <t>25M-33</t>
  </si>
  <si>
    <t>25M-34</t>
  </si>
  <si>
    <t>25M-35</t>
  </si>
  <si>
    <t>25M-36</t>
  </si>
  <si>
    <t>25M-37</t>
  </si>
  <si>
    <t>25M-38</t>
  </si>
  <si>
    <t>25M-39</t>
  </si>
  <si>
    <t>25M-40</t>
  </si>
  <si>
    <t>25M-41</t>
  </si>
  <si>
    <t>25M-42</t>
  </si>
  <si>
    <t>25M-43</t>
  </si>
  <si>
    <t>25M-44</t>
  </si>
  <si>
    <t>25M-45</t>
  </si>
  <si>
    <t>25M-46</t>
  </si>
  <si>
    <t>25M-47</t>
  </si>
  <si>
    <t>25M-48</t>
  </si>
  <si>
    <t>25M-49</t>
  </si>
  <si>
    <t>25M-50</t>
  </si>
  <si>
    <t>25M-51</t>
  </si>
  <si>
    <t>25M-52</t>
  </si>
  <si>
    <t>25M-53</t>
  </si>
  <si>
    <t>25M-54</t>
  </si>
  <si>
    <t>25M-55</t>
  </si>
  <si>
    <t>25M-56</t>
  </si>
  <si>
    <t>25M-57</t>
  </si>
  <si>
    <t>25M-58</t>
  </si>
  <si>
    <t>25M-59</t>
  </si>
  <si>
    <t>25M-60</t>
  </si>
  <si>
    <t>25M-61</t>
  </si>
  <si>
    <t>25M-62</t>
  </si>
  <si>
    <t>25M-63</t>
  </si>
  <si>
    <t>25M-64</t>
  </si>
  <si>
    <t>25M-65</t>
  </si>
  <si>
    <t>25M-66</t>
  </si>
  <si>
    <t>25M-67</t>
  </si>
  <si>
    <t>25M-68</t>
  </si>
  <si>
    <t>25M-69</t>
  </si>
  <si>
    <t>25M-70</t>
  </si>
  <si>
    <t>25M-71</t>
  </si>
  <si>
    <t>50M-1</t>
    <phoneticPr fontId="4"/>
  </si>
  <si>
    <t>50M-2</t>
    <phoneticPr fontId="4"/>
  </si>
  <si>
    <t>50M-3</t>
  </si>
  <si>
    <t>50M-4</t>
  </si>
  <si>
    <t>50M-5</t>
  </si>
  <si>
    <t>50M-6</t>
  </si>
  <si>
    <t>50M-7</t>
  </si>
  <si>
    <t>50M-8</t>
  </si>
  <si>
    <t>50M-9</t>
  </si>
  <si>
    <t>50M-10</t>
  </si>
  <si>
    <t>50M-11</t>
  </si>
  <si>
    <t>50M-12</t>
  </si>
  <si>
    <t>50M-13</t>
  </si>
  <si>
    <t>50M-14</t>
  </si>
  <si>
    <t>50M-15</t>
  </si>
  <si>
    <t>50M-16</t>
  </si>
  <si>
    <t>50M-17</t>
  </si>
  <si>
    <t>50M-18</t>
  </si>
  <si>
    <t>50M-19</t>
  </si>
  <si>
    <t>50M-20</t>
  </si>
  <si>
    <t>50M-21</t>
  </si>
  <si>
    <t>50M-22</t>
  </si>
  <si>
    <t>50M-23</t>
  </si>
  <si>
    <t>50M-24</t>
  </si>
  <si>
    <t>50M-25</t>
  </si>
  <si>
    <t>50M-26</t>
  </si>
  <si>
    <t>50M-27</t>
  </si>
  <si>
    <t>50M-28</t>
  </si>
  <si>
    <t>50M-29</t>
  </si>
  <si>
    <t>50M-30</t>
  </si>
  <si>
    <t>50M-31</t>
  </si>
  <si>
    <t>50M-32</t>
  </si>
  <si>
    <t>50M-33</t>
  </si>
  <si>
    <t>50M-34</t>
  </si>
  <si>
    <t>50M-35</t>
  </si>
  <si>
    <t>50M-36</t>
  </si>
  <si>
    <t>50M-37</t>
  </si>
  <si>
    <t>50M-38</t>
  </si>
  <si>
    <t>50M-39</t>
  </si>
  <si>
    <t>50M-40</t>
  </si>
  <si>
    <t>50M-41</t>
  </si>
  <si>
    <t>50M-42</t>
  </si>
  <si>
    <t>50M-43</t>
  </si>
  <si>
    <t>50M-44</t>
  </si>
  <si>
    <t>50M-45</t>
  </si>
  <si>
    <t>50M-46</t>
  </si>
  <si>
    <t>50M-47</t>
  </si>
  <si>
    <t>50M-48</t>
  </si>
  <si>
    <t>50M-49</t>
  </si>
  <si>
    <t>50M-50</t>
  </si>
  <si>
    <t>50M-51</t>
  </si>
  <si>
    <t>50M-52</t>
  </si>
  <si>
    <t>50M-53</t>
  </si>
  <si>
    <t>50M-54</t>
  </si>
  <si>
    <t>50M-55</t>
  </si>
  <si>
    <t>50M-56</t>
  </si>
  <si>
    <t>50M-57</t>
  </si>
  <si>
    <t>50M-58</t>
  </si>
  <si>
    <t>50M-59</t>
  </si>
  <si>
    <t>50M-60</t>
  </si>
  <si>
    <t>50M-61</t>
  </si>
  <si>
    <t>50M-62</t>
  </si>
  <si>
    <t>50M-63</t>
  </si>
  <si>
    <t>50M-64</t>
  </si>
  <si>
    <t>50M-65</t>
  </si>
  <si>
    <t>50M-66</t>
  </si>
  <si>
    <t>50M-67</t>
  </si>
  <si>
    <t>50M-68</t>
  </si>
  <si>
    <t>50M-69</t>
  </si>
  <si>
    <t>50M-70</t>
  </si>
  <si>
    <t>50M-71</t>
  </si>
  <si>
    <t>50M-72</t>
  </si>
  <si>
    <t>50M-73</t>
  </si>
  <si>
    <t>50M-74</t>
  </si>
  <si>
    <t>50M-75</t>
  </si>
  <si>
    <t>50M-76</t>
  </si>
  <si>
    <t>50M-77</t>
  </si>
  <si>
    <t>50M-78</t>
  </si>
  <si>
    <t>50M-79</t>
  </si>
  <si>
    <t>50M-80</t>
  </si>
  <si>
    <t>50M-81</t>
  </si>
  <si>
    <t>50M-82</t>
  </si>
  <si>
    <t>50M-83</t>
  </si>
  <si>
    <t>50M-84</t>
  </si>
  <si>
    <t>50M-85</t>
  </si>
  <si>
    <t>50M-86</t>
  </si>
  <si>
    <t>50M-87</t>
  </si>
  <si>
    <t>50M-88</t>
  </si>
  <si>
    <t>50M-89</t>
  </si>
  <si>
    <t>50M-90</t>
  </si>
  <si>
    <t>50M-91</t>
  </si>
  <si>
    <t>50M-92</t>
  </si>
  <si>
    <t>50M-93</t>
  </si>
  <si>
    <t>B1</t>
    <phoneticPr fontId="4"/>
  </si>
  <si>
    <t>BF1</t>
    <phoneticPr fontId="4"/>
  </si>
  <si>
    <t>2F</t>
    <phoneticPr fontId="4"/>
  </si>
  <si>
    <t>市民プール照明器具台数</t>
    <rPh sb="0" eb="2">
      <t>シミン</t>
    </rPh>
    <rPh sb="5" eb="11">
      <t>ショウメイキグダイスウ</t>
    </rPh>
    <phoneticPr fontId="4"/>
  </si>
  <si>
    <t>市民プール直近３６ヶ月使用電力量</t>
    <rPh sb="0" eb="2">
      <t>シミン</t>
    </rPh>
    <rPh sb="5" eb="7">
      <t>チョッキン</t>
    </rPh>
    <rPh sb="10" eb="11">
      <t>ゲツ</t>
    </rPh>
    <rPh sb="11" eb="16">
      <t>シヨウデンリョクリョウ</t>
    </rPh>
    <phoneticPr fontId="4"/>
  </si>
  <si>
    <t>使用電力量（kWh）</t>
    <rPh sb="0" eb="5">
      <t>シヨウデンリョクリョウ</t>
    </rPh>
    <phoneticPr fontId="4"/>
  </si>
  <si>
    <t>17：30～22：00</t>
    <phoneticPr fontId="4"/>
  </si>
  <si>
    <t>電気室</t>
    <rPh sb="0" eb="3">
      <t>デンキシツ</t>
    </rPh>
    <phoneticPr fontId="4"/>
  </si>
  <si>
    <t>06：00～21：00</t>
    <phoneticPr fontId="4"/>
  </si>
  <si>
    <t>09：30～21：00</t>
    <phoneticPr fontId="4"/>
  </si>
  <si>
    <t>廊下・階段室・給湯室他　営業日のみ</t>
    <rPh sb="0" eb="2">
      <t>ロウカ</t>
    </rPh>
    <rPh sb="3" eb="6">
      <t>カイダンシツ</t>
    </rPh>
    <rPh sb="7" eb="10">
      <t>キュウトウシツ</t>
    </rPh>
    <rPh sb="10" eb="11">
      <t>ホカ</t>
    </rPh>
    <rPh sb="12" eb="15">
      <t>エイギョウビ</t>
    </rPh>
    <phoneticPr fontId="4"/>
  </si>
  <si>
    <t>ロッカー室</t>
    <rPh sb="4" eb="5">
      <t>シツ</t>
    </rPh>
    <phoneticPr fontId="4"/>
  </si>
  <si>
    <t>シャワー室</t>
    <rPh sb="4" eb="5">
      <t>シツ</t>
    </rPh>
    <phoneticPr fontId="4"/>
  </si>
  <si>
    <t>医務室</t>
    <rPh sb="0" eb="3">
      <t>イムシツ</t>
    </rPh>
    <phoneticPr fontId="4"/>
  </si>
  <si>
    <t>08：15～21：15</t>
    <phoneticPr fontId="4"/>
  </si>
  <si>
    <t>プール</t>
  </si>
  <si>
    <t>プール</t>
    <phoneticPr fontId="4"/>
  </si>
  <si>
    <t>08：25～21：00</t>
    <phoneticPr fontId="4"/>
  </si>
  <si>
    <t>機械室</t>
    <rPh sb="0" eb="2">
      <t>キカイ</t>
    </rPh>
    <rPh sb="2" eb="3">
      <t>シツ</t>
    </rPh>
    <phoneticPr fontId="4"/>
  </si>
  <si>
    <t>便所（機械室）</t>
    <rPh sb="0" eb="2">
      <t>ベンジョ</t>
    </rPh>
    <rPh sb="3" eb="6">
      <t>キカイシツ</t>
    </rPh>
    <phoneticPr fontId="4"/>
  </si>
  <si>
    <t>多目的便所</t>
    <rPh sb="0" eb="3">
      <t>タモクテキ</t>
    </rPh>
    <rPh sb="3" eb="5">
      <t>ベンジョ</t>
    </rPh>
    <phoneticPr fontId="4"/>
  </si>
  <si>
    <t>更新対象
合計</t>
    <rPh sb="0" eb="4">
      <t>コウシンタイショウ</t>
    </rPh>
    <rPh sb="5" eb="7">
      <t>ゴウケイ</t>
    </rPh>
    <phoneticPr fontId="4"/>
  </si>
  <si>
    <t>更新対象外
合計</t>
    <rPh sb="0" eb="4">
      <t>コウシンタイショウ</t>
    </rPh>
    <rPh sb="4" eb="5">
      <t>ガイ</t>
    </rPh>
    <rPh sb="6" eb="8">
      <t>ゴウケイ</t>
    </rPh>
    <phoneticPr fontId="4"/>
  </si>
  <si>
    <t>器具合計</t>
    <rPh sb="0" eb="2">
      <t>キグ</t>
    </rPh>
    <rPh sb="2" eb="4">
      <t>ゴウケイ</t>
    </rPh>
    <phoneticPr fontId="4"/>
  </si>
  <si>
    <t>非常照明
（更新対象外）</t>
    <rPh sb="0" eb="2">
      <t>ヒジョウ</t>
    </rPh>
    <rPh sb="2" eb="4">
      <t>ショウメイ</t>
    </rPh>
    <rPh sb="6" eb="10">
      <t>コウシンタイショウ</t>
    </rPh>
    <rPh sb="10" eb="11">
      <t>ガイ</t>
    </rPh>
    <phoneticPr fontId="4"/>
  </si>
  <si>
    <t>誘導灯
（更新対象外）</t>
    <rPh sb="0" eb="3">
      <t>ユウドウトウ</t>
    </rPh>
    <rPh sb="5" eb="9">
      <t>コウシンタイショウ</t>
    </rPh>
    <rPh sb="9" eb="10">
      <t>ガイ</t>
    </rPh>
    <phoneticPr fontId="4"/>
  </si>
  <si>
    <t>年間消費電力
（kWh）</t>
    <rPh sb="0" eb="6">
      <t>ネンカンショウヒデンリョク</t>
    </rPh>
    <phoneticPr fontId="4"/>
  </si>
  <si>
    <t>kWh</t>
    <phoneticPr fontId="4"/>
  </si>
  <si>
    <t>市民プール既設照明器具リスト</t>
    <rPh sb="0" eb="2">
      <t>シミン</t>
    </rPh>
    <rPh sb="5" eb="7">
      <t>キセツ</t>
    </rPh>
    <rPh sb="7" eb="9">
      <t>ショウメイ</t>
    </rPh>
    <rPh sb="9" eb="11">
      <t>キグ</t>
    </rPh>
    <phoneticPr fontId="4"/>
  </si>
  <si>
    <t>表に記載の数量は企画提案書作成時の参考とし，最終的な数量は受託候補者決定後の現地調査，詳細協議および仕様作成を経て確定することとする。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</si>
</sst>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×&quot;#,##0"/>
    <numFmt numFmtId="177" formatCode="0.00_ "/>
    <numFmt numFmtId="178" formatCode="#,##0;[Red]#,##0"/>
  </numFmts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6"/>
      <name val="Yu Gothic"/>
      <family val="2"/>
      <charset val="128"/>
      <scheme val="minor"/>
    </font>
    <font>
      <sz val="11"/>
      <color theme="1"/>
      <name val="Yu Gothic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Yu Gothic"/>
      <family val="3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00B05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9">
    <xf numFmtId="0" fontId="0" fillId="0" borderId="0"/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/>
    <xf numFmtId="0" fontId="0" fillId="0" borderId="1" xfId="0" applyBorder="1"/>
    <xf numFmtId="0" fontId="7" fillId="0" borderId="1" xfId="0" applyFont="1" applyBorder="1" applyAlignment="1">
      <alignment vertical="center" shrinkToFit="1"/>
    </xf>
    <xf numFmtId="0" fontId="7" fillId="0" borderId="1" xfId="0" applyFont="1" applyFill="1" applyBorder="1" applyAlignment="1">
      <alignment vertical="center" shrinkToFit="1"/>
    </xf>
    <xf numFmtId="0" fontId="9" fillId="0" borderId="0" xfId="0" applyFont="1"/>
    <xf numFmtId="177" fontId="0" fillId="0" borderId="1" xfId="0" applyNumberFormat="1" applyBorder="1"/>
    <xf numFmtId="0" fontId="10" fillId="0" borderId="2" xfId="0" applyFont="1" applyBorder="1"/>
    <xf numFmtId="38" fontId="10" fillId="0" borderId="2" xfId="0" applyNumberFormat="1" applyFont="1" applyBorder="1"/>
    <xf numFmtId="0" fontId="11" fillId="0" borderId="0" xfId="0" applyFont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38" fontId="11" fillId="0" borderId="1" xfId="1" applyFont="1" applyBorder="1" applyAlignment="1"/>
    <xf numFmtId="0" fontId="11" fillId="0" borderId="1" xfId="1" applyNumberFormat="1" applyFont="1" applyBorder="1" applyAlignment="1"/>
    <xf numFmtId="0" fontId="12" fillId="0" borderId="0" xfId="0" applyFont="1"/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38" fontId="11" fillId="0" borderId="1" xfId="0" applyNumberFormat="1" applyFont="1" applyBorder="1" applyAlignment="1">
      <alignment horizontal="right"/>
    </xf>
    <xf numFmtId="38" fontId="11" fillId="0" borderId="3" xfId="0" applyNumberFormat="1" applyFont="1" applyBorder="1" applyAlignment="1">
      <alignment horizontal="right"/>
    </xf>
    <xf numFmtId="38" fontId="11" fillId="0" borderId="4" xfId="1" applyFont="1" applyBorder="1" applyAlignment="1">
      <alignment horizontal="right"/>
    </xf>
    <xf numFmtId="38" fontId="11" fillId="0" borderId="1" xfId="1" applyFont="1" applyBorder="1" applyAlignment="1">
      <alignment horizontal="right"/>
    </xf>
    <xf numFmtId="40" fontId="11" fillId="0" borderId="1" xfId="0" applyNumberFormat="1" applyFont="1" applyBorder="1" applyAlignment="1">
      <alignment horizontal="right"/>
    </xf>
    <xf numFmtId="40" fontId="11" fillId="0" borderId="3" xfId="0" applyNumberFormat="1" applyFont="1" applyBorder="1" applyAlignment="1">
      <alignment horizontal="right"/>
    </xf>
    <xf numFmtId="40" fontId="11" fillId="0" borderId="1" xfId="1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0" fontId="13" fillId="0" borderId="0" xfId="0" applyFont="1"/>
    <xf numFmtId="0" fontId="10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38" fontId="11" fillId="0" borderId="1" xfId="0" applyNumberFormat="1" applyFont="1" applyBorder="1"/>
    <xf numFmtId="38" fontId="11" fillId="0" borderId="5" xfId="0" applyNumberFormat="1" applyFont="1" applyBorder="1"/>
    <xf numFmtId="38" fontId="11" fillId="0" borderId="4" xfId="0" applyNumberFormat="1" applyFont="1" applyBorder="1"/>
    <xf numFmtId="0" fontId="11" fillId="0" borderId="5" xfId="0" applyFont="1" applyBorder="1"/>
    <xf numFmtId="0" fontId="11" fillId="0" borderId="6" xfId="0" applyFont="1" applyBorder="1" applyAlignment="1">
      <alignment horizontal="center" wrapText="1"/>
    </xf>
    <xf numFmtId="0" fontId="11" fillId="0" borderId="6" xfId="0" applyFont="1" applyBorder="1"/>
    <xf numFmtId="0" fontId="11" fillId="0" borderId="7" xfId="0" applyFont="1" applyBorder="1"/>
    <xf numFmtId="38" fontId="11" fillId="0" borderId="8" xfId="0" applyNumberFormat="1" applyFont="1" applyBorder="1"/>
    <xf numFmtId="38" fontId="11" fillId="0" borderId="1" xfId="1" applyFont="1" applyFill="1" applyBorder="1" applyAlignment="1" applyProtection="1">
      <alignment horizontal="right" vertical="center" shrinkToFit="1"/>
    </xf>
    <xf numFmtId="38" fontId="11" fillId="0" borderId="1" xfId="1" applyFont="1" applyFill="1" applyBorder="1" applyAlignment="1">
      <alignment vertical="center" shrinkToFit="1"/>
    </xf>
    <xf numFmtId="176" fontId="11" fillId="0" borderId="1" xfId="1" applyNumberFormat="1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/>
    <xf numFmtId="0" fontId="11" fillId="0" borderId="1" xfId="0" applyFont="1" applyFill="1" applyBorder="1" applyAlignment="1">
      <alignment vertical="center" shrinkToFit="1"/>
    </xf>
    <xf numFmtId="0" fontId="11" fillId="0" borderId="1" xfId="0" applyFont="1" applyFill="1" applyBorder="1" applyAlignment="1">
      <alignment horizontal="center" vertical="center" shrinkToFit="1"/>
    </xf>
    <xf numFmtId="49" fontId="11" fillId="0" borderId="1" xfId="2" applyNumberFormat="1" applyFont="1" applyFill="1" applyBorder="1" applyAlignment="1">
      <alignment vertical="center" shrinkToFit="1"/>
    </xf>
    <xf numFmtId="0" fontId="11" fillId="0" borderId="1" xfId="6" applyFont="1" applyFill="1" applyBorder="1" applyAlignment="1">
      <alignment horizontal="left" vertical="center" shrinkToFit="1"/>
    </xf>
    <xf numFmtId="0" fontId="11" fillId="0" borderId="1" xfId="3" applyFont="1" applyFill="1" applyBorder="1" applyAlignment="1">
      <alignment horizontal="left" vertical="center" shrinkToFit="1"/>
    </xf>
    <xf numFmtId="0" fontId="11" fillId="0" borderId="0" xfId="0" applyFont="1" applyFill="1" applyAlignment="1">
      <alignment vertical="center" shrinkToFit="1"/>
    </xf>
    <xf numFmtId="0" fontId="11" fillId="0" borderId="0" xfId="6" applyFont="1" applyFill="1" applyBorder="1" applyAlignment="1">
      <alignment horizontal="left" vertical="center" shrinkToFit="1"/>
    </xf>
    <xf numFmtId="0" fontId="11" fillId="0" borderId="0" xfId="3" applyFont="1" applyFill="1" applyBorder="1" applyAlignment="1">
      <alignment horizontal="left" vertical="center" shrinkToFit="1"/>
    </xf>
    <xf numFmtId="0" fontId="14" fillId="0" borderId="1" xfId="0" applyFont="1" applyFill="1" applyBorder="1"/>
    <xf numFmtId="0" fontId="15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/>
    </xf>
    <xf numFmtId="38" fontId="11" fillId="0" borderId="9" xfId="0" applyNumberFormat="1" applyFont="1" applyBorder="1"/>
    <xf numFmtId="38" fontId="11" fillId="0" borderId="10" xfId="0" applyNumberFormat="1" applyFont="1" applyBorder="1"/>
    <xf numFmtId="38" fontId="11" fillId="0" borderId="11" xfId="0" applyNumberFormat="1" applyFont="1" applyBorder="1"/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2" fontId="16" fillId="0" borderId="1" xfId="0" applyNumberFormat="1" applyFont="1" applyBorder="1"/>
    <xf numFmtId="0" fontId="17" fillId="0" borderId="1" xfId="1" applyNumberFormat="1" applyFont="1" applyBorder="1" applyAlignment="1"/>
    <xf numFmtId="178" fontId="16" fillId="0" borderId="1" xfId="1" applyNumberFormat="1" applyFont="1" applyBorder="1" applyAlignment="1"/>
    <xf numFmtId="178" fontId="0" fillId="0" borderId="0" xfId="0" applyNumberFormat="1"/>
    <xf numFmtId="178" fontId="11" fillId="0" borderId="1" xfId="0" applyNumberFormat="1" applyFont="1" applyFill="1" applyBorder="1" applyAlignment="1">
      <alignment horizontal="center" wrapText="1"/>
    </xf>
    <xf numFmtId="178" fontId="11" fillId="0" borderId="1" xfId="0" applyNumberFormat="1" applyFont="1" applyFill="1" applyBorder="1"/>
    <xf numFmtId="0" fontId="11" fillId="0" borderId="12" xfId="0" applyFont="1" applyBorder="1" applyAlignment="1">
      <alignment horizontal="left" vertical="top" wrapText="1"/>
    </xf>
  </cellXfs>
  <cellStyles count="9">
    <cellStyle name="桁区切り" xfId="1" builtinId="6"/>
    <cellStyle name="標準" xfId="0" builtinId="0"/>
    <cellStyle name="標準 3 2" xfId="3" xr:uid="{6999CB73-62F9-4A48-A16E-BDF8FB0A78BD}"/>
    <cellStyle name="標準 3 2 2" xfId="5" xr:uid="{14A3CBDE-56BB-4FF3-B2E1-55F1094F02AF}"/>
    <cellStyle name="標準 3 2 3" xfId="7" xr:uid="{370361B0-5CEE-4664-98C6-0FECC53BB92A}"/>
    <cellStyle name="標準 3 3 2" xfId="2" xr:uid="{AD06BC95-EA18-4296-9C29-B8831C95AC1E}"/>
    <cellStyle name="標準 3 3 2 2" xfId="4" xr:uid="{7A262E64-EF77-4429-BFB0-3A6929DD44E4}"/>
    <cellStyle name="標準 3 3 2 3" xfId="8" xr:uid="{BC13F71A-930D-4591-A9F7-102F82B6A294}"/>
    <cellStyle name="標準_経済比較" xfId="6" xr:uid="{8BC3602B-6F00-4E43-903C-5ACD0B6923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B0EF7-FB1F-438A-AC99-09D4688017EE}">
  <sheetPr>
    <tabColor rgb="FF00B050"/>
  </sheetPr>
  <dimension ref="A3:C10"/>
  <sheetViews>
    <sheetView workbookViewId="0">
      <selection activeCell="B8" sqref="B8"/>
    </sheetView>
  </sheetViews>
  <sheetFormatPr defaultRowHeight="17.649999999999999"/>
  <cols>
    <col min="1" max="1" width="25.5625" customWidth="1"/>
    <col min="2" max="2" width="27.5625" customWidth="1"/>
    <col min="3" max="3" width="25.5625" customWidth="1"/>
  </cols>
  <sheetData>
    <row r="3" spans="1:3" ht="25.05" customHeight="1" thickBot="1">
      <c r="A3" s="6" t="s">
        <v>262</v>
      </c>
      <c r="B3" s="7">
        <f>B6</f>
        <v>895500</v>
      </c>
      <c r="C3" s="6" t="s">
        <v>540</v>
      </c>
    </row>
    <row r="4" spans="1:3" ht="25.05" customHeight="1">
      <c r="A4" s="8"/>
      <c r="B4" s="8"/>
    </row>
    <row r="5" spans="1:3" ht="25.05" customHeight="1">
      <c r="A5" s="9"/>
      <c r="B5" s="9" t="s">
        <v>263</v>
      </c>
      <c r="C5" s="9" t="s">
        <v>6</v>
      </c>
    </row>
    <row r="6" spans="1:3" ht="25.05" customHeight="1">
      <c r="A6" s="10" t="s">
        <v>518</v>
      </c>
      <c r="B6" s="11">
        <f>ROUND((直近36ヶ月使用電力量!N4+直近36ヶ月使用電力量!N11+直近36ヶ月使用電力量!N18)/3,0)</f>
        <v>895500</v>
      </c>
      <c r="C6" s="10" t="s">
        <v>264</v>
      </c>
    </row>
    <row r="7" spans="1:3" ht="25.05" customHeight="1">
      <c r="A7" s="10" t="s">
        <v>265</v>
      </c>
      <c r="B7" s="12">
        <f>ROUND((直近36ヶ月使用電力量!O5+直近36ヶ月使用電力量!O12+直近36ヶ月使用電力量!O19)/3,2)</f>
        <v>22.27</v>
      </c>
      <c r="C7" s="10"/>
    </row>
    <row r="8" spans="1:3" ht="25.05" customHeight="1">
      <c r="A8" s="10" t="s">
        <v>266</v>
      </c>
      <c r="B8" s="63">
        <f>ROUND((直近36ヶ月使用電力量!O6+直近36ヶ月使用電力量!O13+直近36ヶ月使用電力量!O20)/3,2)</f>
        <v>-2.2200000000000002</v>
      </c>
      <c r="C8" s="10"/>
    </row>
    <row r="9" spans="1:3" ht="25.05" customHeight="1">
      <c r="A9" s="10" t="s">
        <v>256</v>
      </c>
      <c r="B9" s="12">
        <f>ROUND((直近36ヶ月使用電力量!O7+直近36ヶ月使用電力量!O14+直近36ヶ月使用電力量!O21)/3,2)</f>
        <v>2.78</v>
      </c>
      <c r="C9" s="10"/>
    </row>
    <row r="10" spans="1:3" ht="25.05" customHeight="1">
      <c r="A10" s="10" t="s">
        <v>267</v>
      </c>
      <c r="B10" s="12">
        <f>ROUND((直近36ヶ月使用電力量!O8+直近36ヶ月使用電力量!O15+直近36ヶ月使用電力量!O22)/3,2)</f>
        <v>22.81</v>
      </c>
      <c r="C10" s="10"/>
    </row>
  </sheetData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C5118-1716-43E1-8244-7272073E323E}">
  <sheetPr>
    <tabColor rgb="FF00B050"/>
  </sheetPr>
  <dimension ref="A1:O22"/>
  <sheetViews>
    <sheetView workbookViewId="0">
      <selection activeCell="B4" sqref="B4"/>
    </sheetView>
  </sheetViews>
  <sheetFormatPr defaultRowHeight="17.649999999999999"/>
  <cols>
    <col min="1" max="1" width="25.5625" customWidth="1"/>
    <col min="2" max="15" width="10.5625" customWidth="1"/>
  </cols>
  <sheetData>
    <row r="1" spans="1:15" ht="21.4">
      <c r="A1" s="13" t="s">
        <v>517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25.05" customHeight="1">
      <c r="A3" s="9"/>
      <c r="B3" s="9" t="s">
        <v>268</v>
      </c>
      <c r="C3" s="9" t="s">
        <v>269</v>
      </c>
      <c r="D3" s="9" t="s">
        <v>270</v>
      </c>
      <c r="E3" s="9" t="s">
        <v>271</v>
      </c>
      <c r="F3" s="9" t="s">
        <v>272</v>
      </c>
      <c r="G3" s="9" t="s">
        <v>273</v>
      </c>
      <c r="H3" s="9" t="s">
        <v>274</v>
      </c>
      <c r="I3" s="9" t="s">
        <v>275</v>
      </c>
      <c r="J3" s="9" t="s">
        <v>276</v>
      </c>
      <c r="K3" s="9" t="s">
        <v>277</v>
      </c>
      <c r="L3" s="9" t="s">
        <v>278</v>
      </c>
      <c r="M3" s="14" t="s">
        <v>279</v>
      </c>
      <c r="N3" s="15" t="s">
        <v>280</v>
      </c>
      <c r="O3" s="9" t="s">
        <v>281</v>
      </c>
    </row>
    <row r="4" spans="1:15" ht="25.05" customHeight="1">
      <c r="A4" s="10" t="s">
        <v>518</v>
      </c>
      <c r="B4" s="16">
        <f>市民プール!L10</f>
        <v>76200</v>
      </c>
      <c r="C4" s="16">
        <f>市民プール!M10</f>
        <v>77190</v>
      </c>
      <c r="D4" s="16">
        <f>市民プール!B3</f>
        <v>59150</v>
      </c>
      <c r="E4" s="16">
        <f>市民プール!C3</f>
        <v>78370</v>
      </c>
      <c r="F4" s="16">
        <f>市民プール!D3</f>
        <v>75720</v>
      </c>
      <c r="G4" s="16">
        <f>市民プール!E3</f>
        <v>79940</v>
      </c>
      <c r="H4" s="16">
        <f>市民プール!F3</f>
        <v>80070</v>
      </c>
      <c r="I4" s="16">
        <f>市民プール!G3</f>
        <v>76040</v>
      </c>
      <c r="J4" s="16">
        <f>市民プール!H3</f>
        <v>79330</v>
      </c>
      <c r="K4" s="16">
        <f>市民プール!I3</f>
        <v>77200</v>
      </c>
      <c r="L4" s="16">
        <f>市民プール!J3</f>
        <v>80060</v>
      </c>
      <c r="M4" s="17">
        <f>市民プール!K3</f>
        <v>77930</v>
      </c>
      <c r="N4" s="18">
        <f>SUM(B4:M4)</f>
        <v>917200</v>
      </c>
      <c r="O4" s="19">
        <f>ROUND(AVERAGE(B4:M4),0)</f>
        <v>76433</v>
      </c>
    </row>
    <row r="5" spans="1:15" ht="25.05" customHeight="1">
      <c r="A5" s="10" t="s">
        <v>254</v>
      </c>
      <c r="B5" s="20">
        <f>市民プール!L11</f>
        <v>30.78</v>
      </c>
      <c r="C5" s="20">
        <f>市民プール!M11</f>
        <v>30.78</v>
      </c>
      <c r="D5" s="20">
        <f>市民プール!B4</f>
        <v>20.83</v>
      </c>
      <c r="E5" s="20">
        <f>市民プール!C4</f>
        <v>20.83</v>
      </c>
      <c r="F5" s="20">
        <f>市民プール!D4</f>
        <v>20.83</v>
      </c>
      <c r="G5" s="20">
        <f>市民プール!E4</f>
        <v>20.83</v>
      </c>
      <c r="H5" s="20">
        <f>市民プール!F4</f>
        <v>20.83</v>
      </c>
      <c r="I5" s="20">
        <f>市民プール!G4</f>
        <v>20.83</v>
      </c>
      <c r="J5" s="20">
        <f>市民プール!H4</f>
        <v>20.83</v>
      </c>
      <c r="K5" s="20">
        <f>市民プール!I4</f>
        <v>20.83</v>
      </c>
      <c r="L5" s="20">
        <f>市民プール!J4</f>
        <v>20.83</v>
      </c>
      <c r="M5" s="21">
        <f>市民プール!K4</f>
        <v>20.83</v>
      </c>
      <c r="N5" s="18"/>
      <c r="O5" s="22">
        <f>ROUND(AVERAGE(B5:M5),2)</f>
        <v>22.49</v>
      </c>
    </row>
    <row r="6" spans="1:15" ht="25.05" customHeight="1">
      <c r="A6" s="10" t="s">
        <v>282</v>
      </c>
      <c r="B6" s="20">
        <f>市民プール!L12</f>
        <v>-11.63</v>
      </c>
      <c r="C6" s="20">
        <f>市民プール!M12</f>
        <v>-11.77</v>
      </c>
      <c r="D6" s="20">
        <f>市民プール!B5</f>
        <v>-2.37</v>
      </c>
      <c r="E6" s="20">
        <f>市民プール!C5</f>
        <v>-2.71</v>
      </c>
      <c r="F6" s="20">
        <f>市民プール!D5</f>
        <v>-2.0699999999999998</v>
      </c>
      <c r="G6" s="20">
        <f>市民プール!E5</f>
        <v>-1.28</v>
      </c>
      <c r="H6" s="20">
        <f>市民プール!F5</f>
        <v>-1.24</v>
      </c>
      <c r="I6" s="20">
        <f>市民プール!G5</f>
        <v>-3.16</v>
      </c>
      <c r="J6" s="20">
        <f>市民プール!H5</f>
        <v>-2.76</v>
      </c>
      <c r="K6" s="20">
        <f>市民プール!I5</f>
        <v>-1.91</v>
      </c>
      <c r="L6" s="20">
        <f>市民プール!J5</f>
        <v>-0.77</v>
      </c>
      <c r="M6" s="21">
        <f>市民プール!K5</f>
        <v>-1.06</v>
      </c>
      <c r="N6" s="18"/>
      <c r="O6" s="22">
        <f>ROUND(AVERAGE(B6:M6),2)</f>
        <v>-3.56</v>
      </c>
    </row>
    <row r="7" spans="1:15" ht="25.05" customHeight="1">
      <c r="A7" s="10" t="s">
        <v>256</v>
      </c>
      <c r="B7" s="20">
        <f>市民プール!L13</f>
        <v>1.4</v>
      </c>
      <c r="C7" s="20">
        <f>市民プール!M13</f>
        <v>1.4</v>
      </c>
      <c r="D7" s="20">
        <f>市民プール!B6</f>
        <v>1.4</v>
      </c>
      <c r="E7" s="20">
        <f>市民プール!C6</f>
        <v>3.49</v>
      </c>
      <c r="F7" s="20">
        <f>市民プール!D6</f>
        <v>3.49</v>
      </c>
      <c r="G7" s="20">
        <f>市民プール!E6</f>
        <v>3.49</v>
      </c>
      <c r="H7" s="20">
        <f>市民プール!F6</f>
        <v>3.49</v>
      </c>
      <c r="I7" s="20">
        <f>市民プール!G6</f>
        <v>3.49</v>
      </c>
      <c r="J7" s="20">
        <f>市民プール!H6</f>
        <v>3.49</v>
      </c>
      <c r="K7" s="20">
        <f>市民プール!I6</f>
        <v>3.49</v>
      </c>
      <c r="L7" s="20">
        <f>市民プール!J6</f>
        <v>3.49</v>
      </c>
      <c r="M7" s="21">
        <f>市民プール!K6</f>
        <v>3.49</v>
      </c>
      <c r="N7" s="18"/>
      <c r="O7" s="22">
        <f>ROUND(AVERAGE(B7:M7),)</f>
        <v>3</v>
      </c>
    </row>
    <row r="8" spans="1:15" ht="25.05" customHeight="1">
      <c r="A8" s="10" t="s">
        <v>283</v>
      </c>
      <c r="B8" s="20">
        <f>市民プール!L14</f>
        <v>20.549999999999997</v>
      </c>
      <c r="C8" s="20">
        <f>市民プール!M14</f>
        <v>20.41</v>
      </c>
      <c r="D8" s="20">
        <f>市民プール!B7</f>
        <v>19.859999999999996</v>
      </c>
      <c r="E8" s="20">
        <f>市民プール!C7</f>
        <v>21.61</v>
      </c>
      <c r="F8" s="20">
        <f>市民プール!D7</f>
        <v>22.25</v>
      </c>
      <c r="G8" s="20">
        <f>市民プール!E7</f>
        <v>23.04</v>
      </c>
      <c r="H8" s="20">
        <f>市民プール!F7</f>
        <v>23.08</v>
      </c>
      <c r="I8" s="20">
        <f>市民プール!G7</f>
        <v>21.159999999999997</v>
      </c>
      <c r="J8" s="20">
        <f>市民プール!H7</f>
        <v>21.560000000000002</v>
      </c>
      <c r="K8" s="20">
        <f>市民プール!I7</f>
        <v>22.409999999999997</v>
      </c>
      <c r="L8" s="20">
        <f>市民プール!J7</f>
        <v>23.549999999999997</v>
      </c>
      <c r="M8" s="21">
        <f>市民プール!K7</f>
        <v>23.259999999999998</v>
      </c>
      <c r="N8" s="18"/>
      <c r="O8" s="22">
        <f>ROUND(AVERAGE(B8:M8),2)</f>
        <v>21.9</v>
      </c>
    </row>
    <row r="9" spans="1:15" ht="25.05" customHeight="1">
      <c r="A9" s="8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</row>
    <row r="10" spans="1:15" ht="25.05" customHeight="1">
      <c r="A10" s="9"/>
      <c r="B10" s="9" t="s">
        <v>284</v>
      </c>
      <c r="C10" s="9" t="s">
        <v>285</v>
      </c>
      <c r="D10" s="9" t="s">
        <v>286</v>
      </c>
      <c r="E10" s="9" t="s">
        <v>287</v>
      </c>
      <c r="F10" s="9" t="s">
        <v>288</v>
      </c>
      <c r="G10" s="9" t="s">
        <v>289</v>
      </c>
      <c r="H10" s="9" t="s">
        <v>290</v>
      </c>
      <c r="I10" s="9" t="s">
        <v>291</v>
      </c>
      <c r="J10" s="9" t="s">
        <v>292</v>
      </c>
      <c r="K10" s="9" t="s">
        <v>293</v>
      </c>
      <c r="L10" s="9" t="s">
        <v>294</v>
      </c>
      <c r="M10" s="14" t="s">
        <v>295</v>
      </c>
      <c r="N10" s="15" t="s">
        <v>280</v>
      </c>
      <c r="O10" s="9" t="s">
        <v>281</v>
      </c>
    </row>
    <row r="11" spans="1:15" ht="25.05" customHeight="1">
      <c r="A11" s="10" t="s">
        <v>518</v>
      </c>
      <c r="B11" s="16">
        <f>市民プール!L17</f>
        <v>73640</v>
      </c>
      <c r="C11" s="16">
        <f>市民プール!M17</f>
        <v>77690</v>
      </c>
      <c r="D11" s="16">
        <f>市民プール!B10</f>
        <v>69510</v>
      </c>
      <c r="E11" s="16">
        <f>市民プール!C10</f>
        <v>79730</v>
      </c>
      <c r="F11" s="16">
        <f>市民プール!D10</f>
        <v>76240</v>
      </c>
      <c r="G11" s="16">
        <f>市民プール!E10</f>
        <v>80290</v>
      </c>
      <c r="H11" s="16">
        <f>市民プール!F10</f>
        <v>79880</v>
      </c>
      <c r="I11" s="16">
        <f>市民プール!G10</f>
        <v>77140</v>
      </c>
      <c r="J11" s="16">
        <f>市民プール!H10</f>
        <v>79540</v>
      </c>
      <c r="K11" s="16">
        <f>市民プール!I10</f>
        <v>78030</v>
      </c>
      <c r="L11" s="16">
        <f>市民プール!J10</f>
        <v>80910</v>
      </c>
      <c r="M11" s="17">
        <f>市民プール!K10</f>
        <v>78370</v>
      </c>
      <c r="N11" s="18">
        <f>SUM(B11:M11)</f>
        <v>930970</v>
      </c>
      <c r="O11" s="19">
        <f>ROUND(AVERAGE(B11:M11),0)</f>
        <v>77581</v>
      </c>
    </row>
    <row r="12" spans="1:15" ht="25.05" customHeight="1">
      <c r="A12" s="10" t="s">
        <v>254</v>
      </c>
      <c r="B12" s="20">
        <f>市民プール!L18</f>
        <v>15.99</v>
      </c>
      <c r="C12" s="20">
        <f>市民プール!M18</f>
        <v>15.99</v>
      </c>
      <c r="D12" s="20">
        <f>市民プール!B11</f>
        <v>30.78</v>
      </c>
      <c r="E12" s="20">
        <f>市民プール!C11</f>
        <v>30.78</v>
      </c>
      <c r="F12" s="20">
        <f>市民プール!D11</f>
        <v>30.78</v>
      </c>
      <c r="G12" s="20">
        <f>市民プール!E11</f>
        <v>30.78</v>
      </c>
      <c r="H12" s="20">
        <f>市民プール!F11</f>
        <v>30.78</v>
      </c>
      <c r="I12" s="20">
        <f>市民プール!G11</f>
        <v>30.78</v>
      </c>
      <c r="J12" s="20">
        <f>市民プール!H11</f>
        <v>30.78</v>
      </c>
      <c r="K12" s="20">
        <f>市民プール!I11</f>
        <v>30.78</v>
      </c>
      <c r="L12" s="20">
        <f>市民プール!J11</f>
        <v>30.78</v>
      </c>
      <c r="M12" s="21">
        <f>市民プール!K11</f>
        <v>30.78</v>
      </c>
      <c r="N12" s="18"/>
      <c r="O12" s="22">
        <f>ROUND(AVERAGE(B12:M12),2)</f>
        <v>28.32</v>
      </c>
    </row>
    <row r="13" spans="1:15" ht="25.05" customHeight="1">
      <c r="A13" s="10" t="s">
        <v>282</v>
      </c>
      <c r="B13" s="20">
        <f>市民プール!L19</f>
        <v>6.35</v>
      </c>
      <c r="C13" s="20">
        <f>市民プール!M19</f>
        <v>5.8</v>
      </c>
      <c r="D13" s="20">
        <f>市民プール!B12</f>
        <v>-5.38</v>
      </c>
      <c r="E13" s="20">
        <f>市民プール!C12</f>
        <v>-7.03</v>
      </c>
      <c r="F13" s="20">
        <f>市民プール!D12</f>
        <v>-9.14</v>
      </c>
      <c r="G13" s="20">
        <f>市民プール!E12</f>
        <v>-10.92</v>
      </c>
      <c r="H13" s="20">
        <f>市民プール!F12</f>
        <v>-12.31</v>
      </c>
      <c r="I13" s="20">
        <f>市民プール!G12</f>
        <v>-13.19</v>
      </c>
      <c r="J13" s="20">
        <f>市民プール!H12</f>
        <v>-11.95</v>
      </c>
      <c r="K13" s="20">
        <f>市民プール!I12</f>
        <v>-12.11</v>
      </c>
      <c r="L13" s="20">
        <f>市民プール!J12</f>
        <v>-12.01</v>
      </c>
      <c r="M13" s="21">
        <f>市民プール!K12</f>
        <v>-11.77</v>
      </c>
      <c r="N13" s="18"/>
      <c r="O13" s="22">
        <f>ROUND(AVERAGE(B13:M13),2)</f>
        <v>-7.81</v>
      </c>
    </row>
    <row r="14" spans="1:15" ht="25.05" customHeight="1">
      <c r="A14" s="10" t="s">
        <v>256</v>
      </c>
      <c r="B14" s="20">
        <f>市民プール!L20</f>
        <v>3.45</v>
      </c>
      <c r="C14" s="20">
        <f>市民プール!M20</f>
        <v>3.45</v>
      </c>
      <c r="D14" s="20">
        <f>市民プール!B13</f>
        <v>3.45</v>
      </c>
      <c r="E14" s="20">
        <f>市民プール!C13</f>
        <v>1.4</v>
      </c>
      <c r="F14" s="20">
        <f>市民プール!D13</f>
        <v>1.4</v>
      </c>
      <c r="G14" s="20">
        <f>市民プール!E13</f>
        <v>1.4</v>
      </c>
      <c r="H14" s="20">
        <f>市民プール!F13</f>
        <v>1.4</v>
      </c>
      <c r="I14" s="20">
        <f>市民プール!G13</f>
        <v>1.4</v>
      </c>
      <c r="J14" s="20">
        <f>市民プール!H13</f>
        <v>1.4</v>
      </c>
      <c r="K14" s="20">
        <f>市民プール!I13</f>
        <v>1.4</v>
      </c>
      <c r="L14" s="20">
        <f>市民プール!J13</f>
        <v>1.4</v>
      </c>
      <c r="M14" s="21">
        <f>市民プール!K13</f>
        <v>1.4</v>
      </c>
      <c r="N14" s="18"/>
      <c r="O14" s="22">
        <f>ROUND(AVERAGE(B14:M14),2)</f>
        <v>1.91</v>
      </c>
    </row>
    <row r="15" spans="1:15" ht="25.05" customHeight="1">
      <c r="A15" s="10" t="s">
        <v>283</v>
      </c>
      <c r="B15" s="20">
        <f>市民プール!L21</f>
        <v>25.79</v>
      </c>
      <c r="C15" s="20">
        <f>市民プール!M21</f>
        <v>25.24</v>
      </c>
      <c r="D15" s="20">
        <f>市民プール!B14</f>
        <v>28.85</v>
      </c>
      <c r="E15" s="20">
        <f>市民プール!C14</f>
        <v>25.15</v>
      </c>
      <c r="F15" s="20">
        <f>市民プール!D14</f>
        <v>23.04</v>
      </c>
      <c r="G15" s="20">
        <f>市民プール!E14</f>
        <v>21.259999999999998</v>
      </c>
      <c r="H15" s="20">
        <f>市民プール!F14</f>
        <v>19.869999999999997</v>
      </c>
      <c r="I15" s="20">
        <f>市民プール!G14</f>
        <v>18.990000000000002</v>
      </c>
      <c r="J15" s="20">
        <f>市民プール!H14</f>
        <v>20.23</v>
      </c>
      <c r="K15" s="20">
        <f>市民プール!I14</f>
        <v>20.07</v>
      </c>
      <c r="L15" s="20">
        <f>市民プール!J14</f>
        <v>20.170000000000002</v>
      </c>
      <c r="M15" s="21">
        <f>市民プール!K14</f>
        <v>20.41</v>
      </c>
      <c r="N15" s="18"/>
      <c r="O15" s="22">
        <f t="shared" ref="O15" si="0">AVERAGE(B15:M15)</f>
        <v>22.422499999999999</v>
      </c>
    </row>
    <row r="16" spans="1:15" ht="25.05" customHeight="1">
      <c r="A16" s="8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ht="25.05" customHeight="1">
      <c r="A17" s="9"/>
      <c r="B17" s="9" t="s">
        <v>296</v>
      </c>
      <c r="C17" s="9" t="s">
        <v>297</v>
      </c>
      <c r="D17" s="9" t="s">
        <v>298</v>
      </c>
      <c r="E17" s="9" t="s">
        <v>299</v>
      </c>
      <c r="F17" s="9" t="s">
        <v>300</v>
      </c>
      <c r="G17" s="9" t="s">
        <v>301</v>
      </c>
      <c r="H17" s="9" t="s">
        <v>302</v>
      </c>
      <c r="I17" s="9" t="s">
        <v>303</v>
      </c>
      <c r="J17" s="9" t="s">
        <v>304</v>
      </c>
      <c r="K17" s="9" t="s">
        <v>305</v>
      </c>
      <c r="L17" s="9" t="s">
        <v>306</v>
      </c>
      <c r="M17" s="14" t="s">
        <v>307</v>
      </c>
      <c r="N17" s="15" t="s">
        <v>280</v>
      </c>
      <c r="O17" s="9" t="s">
        <v>281</v>
      </c>
    </row>
    <row r="18" spans="1:15" ht="25.05" customHeight="1">
      <c r="A18" s="10" t="s">
        <v>518</v>
      </c>
      <c r="B18" s="16">
        <f>市民プール!L24</f>
        <v>34140</v>
      </c>
      <c r="C18" s="16">
        <f>市民プール!M24</f>
        <v>35220</v>
      </c>
      <c r="D18" s="16">
        <f>市民プール!B17</f>
        <v>66210</v>
      </c>
      <c r="E18" s="16">
        <f>市民プール!C17</f>
        <v>78760</v>
      </c>
      <c r="F18" s="16">
        <f>市民プール!D17</f>
        <v>76080</v>
      </c>
      <c r="G18" s="16">
        <f>市民プール!E17</f>
        <v>77460</v>
      </c>
      <c r="H18" s="16">
        <f>市民プール!F17</f>
        <v>78740</v>
      </c>
      <c r="I18" s="16">
        <f>市民プール!G17</f>
        <v>75210</v>
      </c>
      <c r="J18" s="16">
        <f>市民プール!H17</f>
        <v>79340</v>
      </c>
      <c r="K18" s="16">
        <f>市民プール!I17</f>
        <v>77640</v>
      </c>
      <c r="L18" s="16">
        <f>市民プール!J17</f>
        <v>81380</v>
      </c>
      <c r="M18" s="17">
        <f>市民プール!K17</f>
        <v>78150</v>
      </c>
      <c r="N18" s="18">
        <f>SUM(B18:M18)</f>
        <v>838330</v>
      </c>
      <c r="O18" s="19">
        <f>ROUND(AVERAGE(B18:M18),0)</f>
        <v>69861</v>
      </c>
    </row>
    <row r="19" spans="1:15" ht="25.05" customHeight="1">
      <c r="A19" s="10" t="s">
        <v>254</v>
      </c>
      <c r="B19" s="20">
        <f>市民プール!L25</f>
        <v>15.99</v>
      </c>
      <c r="C19" s="20">
        <f>市民プール!M25</f>
        <v>15.99</v>
      </c>
      <c r="D19" s="20">
        <f>市民プール!B18</f>
        <v>15.99</v>
      </c>
      <c r="E19" s="20">
        <f>市民プール!C18</f>
        <v>15.99</v>
      </c>
      <c r="F19" s="20">
        <f>市民プール!D18</f>
        <v>15.99</v>
      </c>
      <c r="G19" s="20">
        <f>市民プール!E18</f>
        <v>15.99</v>
      </c>
      <c r="H19" s="20">
        <f>市民プール!F18</f>
        <v>15.99</v>
      </c>
      <c r="I19" s="20">
        <f>市民プール!G18</f>
        <v>15.99</v>
      </c>
      <c r="J19" s="20">
        <f>市民プール!H18</f>
        <v>15.99</v>
      </c>
      <c r="K19" s="20">
        <f>市民プール!I18</f>
        <v>15.99</v>
      </c>
      <c r="L19" s="20">
        <f>市民プール!J18</f>
        <v>15.99</v>
      </c>
      <c r="M19" s="21">
        <f>市民プール!K18</f>
        <v>15.99</v>
      </c>
      <c r="N19" s="18"/>
      <c r="O19" s="22">
        <f t="shared" ref="O19" si="1">AVERAGE(B19:M19)</f>
        <v>15.990000000000002</v>
      </c>
    </row>
    <row r="20" spans="1:15" ht="25.05" customHeight="1">
      <c r="A20" s="10" t="s">
        <v>282</v>
      </c>
      <c r="B20" s="20">
        <f>市民プール!L26</f>
        <v>0.6</v>
      </c>
      <c r="C20" s="20">
        <f>市民プール!M26</f>
        <v>1.1200000000000001</v>
      </c>
      <c r="D20" s="20">
        <f>市民プール!B19</f>
        <v>1.34</v>
      </c>
      <c r="E20" s="20">
        <f>市民プール!C19</f>
        <v>1.49</v>
      </c>
      <c r="F20" s="20">
        <f>市民プール!D19</f>
        <v>1.85</v>
      </c>
      <c r="G20" s="20">
        <f>市民プール!E19</f>
        <v>3.1</v>
      </c>
      <c r="H20" s="20">
        <f>市民プール!F19</f>
        <v>4.55</v>
      </c>
      <c r="I20" s="20">
        <f>市民プール!G19</f>
        <v>6.54</v>
      </c>
      <c r="J20" s="20">
        <f>市民プール!H19</f>
        <v>8.0500000000000007</v>
      </c>
      <c r="K20" s="20">
        <f>市民プール!I19</f>
        <v>8.94</v>
      </c>
      <c r="L20" s="20">
        <f>市民プール!J19</f>
        <v>9.36</v>
      </c>
      <c r="M20" s="21">
        <f>市民プール!K19</f>
        <v>9.51</v>
      </c>
      <c r="N20" s="18"/>
      <c r="O20" s="22">
        <f>ROUND(AVERAGE(B20:M20),2)</f>
        <v>4.7</v>
      </c>
    </row>
    <row r="21" spans="1:15" ht="25.05" customHeight="1">
      <c r="A21" s="10" t="s">
        <v>256</v>
      </c>
      <c r="B21" s="20">
        <f>市民プール!L27</f>
        <v>3.36</v>
      </c>
      <c r="C21" s="20">
        <f>市民プール!M27</f>
        <v>3.36</v>
      </c>
      <c r="D21" s="20">
        <f>市民プール!B20</f>
        <v>3.36</v>
      </c>
      <c r="E21" s="20">
        <f>市民プール!C20</f>
        <v>3.45</v>
      </c>
      <c r="F21" s="20">
        <f>市民プール!D20</f>
        <v>3.45</v>
      </c>
      <c r="G21" s="20">
        <f>市民プール!E20</f>
        <v>3.45</v>
      </c>
      <c r="H21" s="20">
        <f>市民プール!F20</f>
        <v>3.45</v>
      </c>
      <c r="I21" s="20">
        <f>市民プール!G20</f>
        <v>3.45</v>
      </c>
      <c r="J21" s="20">
        <f>市民プール!H20</f>
        <v>3.45</v>
      </c>
      <c r="K21" s="20">
        <f>市民プール!I20</f>
        <v>3.45</v>
      </c>
      <c r="L21" s="20">
        <f>市民プール!J20</f>
        <v>3.45</v>
      </c>
      <c r="M21" s="21">
        <f>市民プール!K20</f>
        <v>3.45</v>
      </c>
      <c r="N21" s="18"/>
      <c r="O21" s="22">
        <f>ROUND(AVERAGE(B21:M21),2)</f>
        <v>3.43</v>
      </c>
    </row>
    <row r="22" spans="1:15" ht="25.05" customHeight="1">
      <c r="A22" s="10" t="s">
        <v>283</v>
      </c>
      <c r="B22" s="20">
        <f>市民プール!L28</f>
        <v>19.95</v>
      </c>
      <c r="C22" s="20">
        <f>市民プール!M28</f>
        <v>20.47</v>
      </c>
      <c r="D22" s="20">
        <f>市民プール!B21</f>
        <v>20.69</v>
      </c>
      <c r="E22" s="20">
        <f>市民プール!C21</f>
        <v>20.93</v>
      </c>
      <c r="F22" s="20">
        <f>市民プール!D21</f>
        <v>21.29</v>
      </c>
      <c r="G22" s="20">
        <f>市民プール!E21</f>
        <v>22.54</v>
      </c>
      <c r="H22" s="20">
        <f>市民プール!F21</f>
        <v>23.99</v>
      </c>
      <c r="I22" s="20">
        <f>市民プール!G21</f>
        <v>25.98</v>
      </c>
      <c r="J22" s="20">
        <f>市民プール!H21</f>
        <v>27.49</v>
      </c>
      <c r="K22" s="20">
        <f>市民プール!I21</f>
        <v>28.38</v>
      </c>
      <c r="L22" s="20">
        <f>市民プール!J21</f>
        <v>28.8</v>
      </c>
      <c r="M22" s="21">
        <f>市民プール!K21</f>
        <v>28.95</v>
      </c>
      <c r="N22" s="18"/>
      <c r="O22" s="22">
        <f>ROUND(AVERAGE(B22:M22),2)</f>
        <v>24.12</v>
      </c>
    </row>
  </sheetData>
  <phoneticPr fontId="4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9D810-FEF4-4352-B188-CC7510CB098B}">
  <sheetPr>
    <tabColor rgb="FF00B050"/>
  </sheetPr>
  <dimension ref="A1:F89"/>
  <sheetViews>
    <sheetView workbookViewId="0">
      <pane xSplit="2" ySplit="3" topLeftCell="C4" activePane="bottomRight" state="frozen"/>
      <selection activeCell="B3" sqref="B3"/>
      <selection pane="topRight" activeCell="B3" sqref="B3"/>
      <selection pane="bottomLeft" activeCell="B3" sqref="B3"/>
      <selection pane="bottomRight" activeCell="C33" sqref="C33"/>
    </sheetView>
  </sheetViews>
  <sheetFormatPr defaultRowHeight="17.649999999999999"/>
  <cols>
    <col min="1" max="1" width="4.875" customWidth="1"/>
    <col min="2" max="2" width="41.125" hidden="1" customWidth="1"/>
    <col min="3" max="3" width="17.125" customWidth="1"/>
    <col min="4" max="4" width="5.9375" bestFit="1" customWidth="1"/>
    <col min="5" max="5" width="30.125" customWidth="1"/>
    <col min="6" max="6" width="13.5625" bestFit="1" customWidth="1"/>
  </cols>
  <sheetData>
    <row r="1" spans="1:6">
      <c r="A1" s="24" t="s">
        <v>324</v>
      </c>
    </row>
    <row r="2" spans="1:6">
      <c r="A2" s="24"/>
    </row>
    <row r="3" spans="1:6">
      <c r="A3" s="53" t="s">
        <v>325</v>
      </c>
      <c r="B3" s="53" t="s">
        <v>326</v>
      </c>
      <c r="C3" s="53" t="s">
        <v>327</v>
      </c>
      <c r="D3" s="53" t="s">
        <v>3</v>
      </c>
      <c r="E3" s="53" t="s">
        <v>328</v>
      </c>
      <c r="F3" s="53" t="s">
        <v>329</v>
      </c>
    </row>
    <row r="4" spans="1:6">
      <c r="A4" s="53">
        <v>1</v>
      </c>
      <c r="B4" s="53" t="str">
        <f t="shared" ref="B4:B35" si="0">C4&amp;D4&amp;E4</f>
        <v>MF2502外灯</v>
      </c>
      <c r="C4" s="48" t="s">
        <v>163</v>
      </c>
      <c r="D4" s="41">
        <v>2</v>
      </c>
      <c r="E4" s="49" t="s">
        <v>160</v>
      </c>
      <c r="F4" s="40">
        <v>550</v>
      </c>
    </row>
    <row r="5" spans="1:6">
      <c r="A5" s="53">
        <v>2</v>
      </c>
      <c r="B5" s="53" t="str">
        <f t="shared" si="0"/>
        <v>MF2501外灯</v>
      </c>
      <c r="C5" s="48" t="s">
        <v>163</v>
      </c>
      <c r="D5" s="41">
        <v>1</v>
      </c>
      <c r="E5" s="49" t="s">
        <v>160</v>
      </c>
      <c r="F5" s="40">
        <v>275</v>
      </c>
    </row>
    <row r="6" spans="1:6">
      <c r="A6" s="53">
        <v>3</v>
      </c>
      <c r="B6" s="53" t="str">
        <f t="shared" si="0"/>
        <v>FL20S･W1ブラケット</v>
      </c>
      <c r="C6" s="48" t="s">
        <v>18</v>
      </c>
      <c r="D6" s="41">
        <v>1</v>
      </c>
      <c r="E6" s="49" t="s">
        <v>161</v>
      </c>
      <c r="F6" s="40">
        <v>22.5</v>
      </c>
    </row>
    <row r="7" spans="1:6">
      <c r="A7" s="53">
        <v>4</v>
      </c>
      <c r="B7" s="53" t="str">
        <f t="shared" si="0"/>
        <v>FHT42×11防犯灯</v>
      </c>
      <c r="C7" s="48" t="s">
        <v>164</v>
      </c>
      <c r="D7" s="41">
        <v>1</v>
      </c>
      <c r="E7" s="49" t="s">
        <v>162</v>
      </c>
      <c r="F7" s="40">
        <v>42</v>
      </c>
    </row>
    <row r="8" spans="1:6">
      <c r="A8" s="53">
        <v>5</v>
      </c>
      <c r="B8" s="53" t="str">
        <f t="shared" si="0"/>
        <v>RF3001投光器</v>
      </c>
      <c r="C8" s="48" t="s">
        <v>165</v>
      </c>
      <c r="D8" s="41">
        <v>1</v>
      </c>
      <c r="E8" s="49" t="s">
        <v>35</v>
      </c>
      <c r="F8" s="40">
        <v>300</v>
      </c>
    </row>
    <row r="9" spans="1:6">
      <c r="A9" s="53">
        <v>6</v>
      </c>
      <c r="B9" s="53" t="str">
        <f t="shared" si="0"/>
        <v>FL40S･W2笠付</v>
      </c>
      <c r="C9" s="48" t="s">
        <v>16</v>
      </c>
      <c r="D9" s="41">
        <v>2</v>
      </c>
      <c r="E9" s="49" t="s">
        <v>225</v>
      </c>
      <c r="F9" s="40">
        <v>94</v>
      </c>
    </row>
    <row r="10" spans="1:6">
      <c r="A10" s="53">
        <v>7</v>
      </c>
      <c r="B10" s="53" t="str">
        <f t="shared" si="0"/>
        <v>FL20S･W2逆富士</v>
      </c>
      <c r="C10" s="48" t="s">
        <v>18</v>
      </c>
      <c r="D10" s="41">
        <v>2</v>
      </c>
      <c r="E10" s="49" t="s">
        <v>206</v>
      </c>
      <c r="F10" s="40">
        <v>45</v>
      </c>
    </row>
    <row r="11" spans="1:6">
      <c r="A11" s="53">
        <v>8</v>
      </c>
      <c r="B11" s="53" t="str">
        <f t="shared" si="0"/>
        <v>RF2001RF200投光器</v>
      </c>
      <c r="C11" s="48" t="s">
        <v>226</v>
      </c>
      <c r="D11" s="41">
        <v>1</v>
      </c>
      <c r="E11" s="49" t="s">
        <v>31</v>
      </c>
      <c r="F11" s="40">
        <v>200</v>
      </c>
    </row>
    <row r="12" spans="1:6">
      <c r="A12" s="53">
        <v>9</v>
      </c>
      <c r="B12" s="53" t="str">
        <f t="shared" si="0"/>
        <v>FL20S･W1片反射</v>
      </c>
      <c r="C12" s="48" t="s">
        <v>18</v>
      </c>
      <c r="D12" s="41">
        <v>1</v>
      </c>
      <c r="E12" s="49" t="s">
        <v>227</v>
      </c>
      <c r="F12" s="40">
        <v>22.5</v>
      </c>
    </row>
    <row r="13" spans="1:6">
      <c r="A13" s="53">
        <v>10</v>
      </c>
      <c r="B13" s="53" t="str">
        <f t="shared" si="0"/>
        <v>FDL18EX-N1ダウンライト　軒下用　WP</v>
      </c>
      <c r="C13" s="48" t="s">
        <v>82</v>
      </c>
      <c r="D13" s="41">
        <v>1</v>
      </c>
      <c r="E13" s="49" t="s">
        <v>205</v>
      </c>
      <c r="F13" s="40">
        <v>13</v>
      </c>
    </row>
    <row r="14" spans="1:6">
      <c r="A14" s="53">
        <v>11</v>
      </c>
      <c r="B14" s="53" t="str">
        <f t="shared" si="0"/>
        <v>HF100W1投光器</v>
      </c>
      <c r="C14" s="48" t="s">
        <v>219</v>
      </c>
      <c r="D14" s="41">
        <v>1</v>
      </c>
      <c r="E14" s="49" t="s">
        <v>35</v>
      </c>
      <c r="F14" s="40">
        <v>120</v>
      </c>
    </row>
    <row r="15" spans="1:6">
      <c r="A15" s="53">
        <v>12</v>
      </c>
      <c r="B15" s="53" t="str">
        <f t="shared" si="0"/>
        <v>FL40S･W4埋込　スクエア□1000</v>
      </c>
      <c r="C15" s="48" t="s">
        <v>16</v>
      </c>
      <c r="D15" s="41">
        <v>4</v>
      </c>
      <c r="E15" s="49" t="s">
        <v>221</v>
      </c>
      <c r="F15" s="40">
        <v>188</v>
      </c>
    </row>
    <row r="16" spans="1:6">
      <c r="A16" s="53">
        <v>13</v>
      </c>
      <c r="B16" s="53" t="str">
        <f t="shared" si="0"/>
        <v>FL40S･W1逆富士</v>
      </c>
      <c r="C16" s="48" t="s">
        <v>16</v>
      </c>
      <c r="D16" s="41">
        <v>1</v>
      </c>
      <c r="E16" s="49" t="s">
        <v>206</v>
      </c>
      <c r="F16" s="40">
        <v>47</v>
      </c>
    </row>
    <row r="17" spans="1:6">
      <c r="A17" s="53">
        <v>14</v>
      </c>
      <c r="B17" s="53" t="str">
        <f t="shared" si="0"/>
        <v>BRF80W1ユニバーサルＤＬ</v>
      </c>
      <c r="C17" s="48" t="s">
        <v>83</v>
      </c>
      <c r="D17" s="41">
        <v>1</v>
      </c>
      <c r="E17" s="49" t="s">
        <v>38</v>
      </c>
      <c r="F17" s="40">
        <v>80</v>
      </c>
    </row>
    <row r="18" spans="1:6">
      <c r="A18" s="53">
        <v>15</v>
      </c>
      <c r="B18" s="53" t="str">
        <f t="shared" si="0"/>
        <v>FL20S･W1ミラー灯</v>
      </c>
      <c r="C18" s="48" t="s">
        <v>18</v>
      </c>
      <c r="D18" s="41">
        <v>1</v>
      </c>
      <c r="E18" s="49" t="s">
        <v>43</v>
      </c>
      <c r="F18" s="40">
        <v>22.5</v>
      </c>
    </row>
    <row r="19" spans="1:6">
      <c r="A19" s="53">
        <v>16</v>
      </c>
      <c r="B19" s="53" t="str">
        <f t="shared" si="0"/>
        <v>FL20S･W2逆富士　電池内蔵</v>
      </c>
      <c r="C19" s="48" t="s">
        <v>18</v>
      </c>
      <c r="D19" s="41">
        <v>2</v>
      </c>
      <c r="E19" s="49" t="s">
        <v>243</v>
      </c>
      <c r="F19" s="40">
        <v>44</v>
      </c>
    </row>
    <row r="20" spans="1:6">
      <c r="A20" s="53">
        <v>17</v>
      </c>
      <c r="B20" s="53" t="str">
        <f t="shared" si="0"/>
        <v>LED1直付</v>
      </c>
      <c r="C20" s="48" t="s">
        <v>201</v>
      </c>
      <c r="D20" s="41">
        <v>1</v>
      </c>
      <c r="E20" s="49" t="s">
        <v>218</v>
      </c>
      <c r="F20" s="40">
        <v>20</v>
      </c>
    </row>
    <row r="21" spans="1:6">
      <c r="A21" s="53">
        <v>18</v>
      </c>
      <c r="B21" s="53" t="str">
        <f t="shared" si="0"/>
        <v>FL40S･W2埋込　WP</v>
      </c>
      <c r="C21" s="48" t="s">
        <v>16</v>
      </c>
      <c r="D21" s="41">
        <v>2</v>
      </c>
      <c r="E21" s="49" t="s">
        <v>230</v>
      </c>
      <c r="F21" s="40">
        <v>94</v>
      </c>
    </row>
    <row r="22" spans="1:6">
      <c r="A22" s="53">
        <v>19</v>
      </c>
      <c r="B22" s="53" t="str">
        <f t="shared" si="0"/>
        <v>FL40S･W1逆富士　WP</v>
      </c>
      <c r="C22" s="48" t="s">
        <v>16</v>
      </c>
      <c r="D22" s="41">
        <v>1</v>
      </c>
      <c r="E22" s="49" t="s">
        <v>231</v>
      </c>
      <c r="F22" s="40">
        <v>47</v>
      </c>
    </row>
    <row r="23" spans="1:6">
      <c r="A23" s="53">
        <v>20</v>
      </c>
      <c r="B23" s="53" t="str">
        <f t="shared" si="0"/>
        <v>FL40S･W2埋込　</v>
      </c>
      <c r="C23" s="48" t="s">
        <v>16</v>
      </c>
      <c r="D23" s="41">
        <v>2</v>
      </c>
      <c r="E23" s="49" t="s">
        <v>228</v>
      </c>
      <c r="F23" s="40">
        <v>94</v>
      </c>
    </row>
    <row r="24" spans="1:6">
      <c r="A24" s="53">
        <v>21</v>
      </c>
      <c r="B24" s="53" t="str">
        <f t="shared" si="0"/>
        <v>FL20S･W1流し元灯</v>
      </c>
      <c r="C24" s="48" t="s">
        <v>18</v>
      </c>
      <c r="D24" s="41">
        <v>1</v>
      </c>
      <c r="E24" s="49" t="s">
        <v>229</v>
      </c>
      <c r="F24" s="40">
        <v>22.5</v>
      </c>
    </row>
    <row r="25" spans="1:6">
      <c r="A25" s="53">
        <v>22</v>
      </c>
      <c r="B25" s="53" t="str">
        <f t="shared" si="0"/>
        <v>FL20S･W2逆富士　WP　電池内蔵</v>
      </c>
      <c r="C25" s="48" t="s">
        <v>18</v>
      </c>
      <c r="D25" s="41">
        <v>2</v>
      </c>
      <c r="E25" s="49" t="s">
        <v>233</v>
      </c>
      <c r="F25" s="40">
        <v>44</v>
      </c>
    </row>
    <row r="26" spans="1:6">
      <c r="A26" s="53">
        <v>23</v>
      </c>
      <c r="B26" s="53" t="str">
        <f t="shared" si="0"/>
        <v>FL40S･W2埋込</v>
      </c>
      <c r="C26" s="48" t="s">
        <v>16</v>
      </c>
      <c r="D26" s="41">
        <v>2</v>
      </c>
      <c r="E26" s="49" t="s">
        <v>195</v>
      </c>
      <c r="F26" s="40">
        <v>94</v>
      </c>
    </row>
    <row r="27" spans="1:6">
      <c r="A27" s="53">
        <v>24</v>
      </c>
      <c r="B27" s="53" t="str">
        <f t="shared" si="0"/>
        <v>FL40S･W1埋込</v>
      </c>
      <c r="C27" s="48" t="s">
        <v>16</v>
      </c>
      <c r="D27" s="41">
        <v>1</v>
      </c>
      <c r="E27" s="49" t="s">
        <v>195</v>
      </c>
      <c r="F27" s="40">
        <v>47</v>
      </c>
    </row>
    <row r="28" spans="1:6">
      <c r="A28" s="53">
        <v>25</v>
      </c>
      <c r="B28" s="53" t="str">
        <f t="shared" si="0"/>
        <v>FL101表示灯</v>
      </c>
      <c r="C28" s="48" t="s">
        <v>85</v>
      </c>
      <c r="D28" s="41">
        <v>1</v>
      </c>
      <c r="E28" s="49" t="s">
        <v>232</v>
      </c>
      <c r="F28" s="40">
        <v>13</v>
      </c>
    </row>
    <row r="29" spans="1:6">
      <c r="A29" s="53">
        <v>26</v>
      </c>
      <c r="B29" s="53" t="str">
        <f t="shared" si="0"/>
        <v>FL20S･W1逆富士</v>
      </c>
      <c r="C29" s="48" t="s">
        <v>18</v>
      </c>
      <c r="D29" s="41">
        <v>1</v>
      </c>
      <c r="E29" s="49" t="s">
        <v>176</v>
      </c>
      <c r="F29" s="40">
        <v>22.5</v>
      </c>
    </row>
    <row r="30" spans="1:6">
      <c r="A30" s="53">
        <v>27</v>
      </c>
      <c r="B30" s="53" t="str">
        <f t="shared" si="0"/>
        <v>MF400･L-J/BH1投光器　重耐塩仕様</v>
      </c>
      <c r="C30" s="48" t="s">
        <v>86</v>
      </c>
      <c r="D30" s="41">
        <v>1</v>
      </c>
      <c r="E30" s="49" t="s">
        <v>198</v>
      </c>
      <c r="F30" s="40">
        <v>433</v>
      </c>
    </row>
    <row r="31" spans="1:6">
      <c r="A31" s="53">
        <v>28</v>
      </c>
      <c r="B31" s="53" t="str">
        <f t="shared" si="0"/>
        <v>JD100/110V250WP-EN1投光器　重耐塩仕様</v>
      </c>
      <c r="C31" s="48" t="s">
        <v>87</v>
      </c>
      <c r="D31" s="41">
        <v>1</v>
      </c>
      <c r="E31" s="49" t="s">
        <v>191</v>
      </c>
      <c r="F31" s="40">
        <v>250</v>
      </c>
    </row>
    <row r="32" spans="1:6">
      <c r="A32" s="53">
        <v>29</v>
      </c>
      <c r="B32" s="53" t="str">
        <f t="shared" si="0"/>
        <v>FDL18EX-N1ダウンライト　WP</v>
      </c>
      <c r="C32" s="48" t="s">
        <v>82</v>
      </c>
      <c r="D32" s="41">
        <v>1</v>
      </c>
      <c r="E32" s="49" t="s">
        <v>207</v>
      </c>
      <c r="F32" s="40">
        <v>34</v>
      </c>
    </row>
    <row r="33" spans="1:6">
      <c r="A33" s="53">
        <v>30</v>
      </c>
      <c r="B33" s="53" t="str">
        <f t="shared" si="0"/>
        <v>FL20W1逆富士</v>
      </c>
      <c r="C33" s="48" t="s">
        <v>178</v>
      </c>
      <c r="D33" s="41">
        <v>1</v>
      </c>
      <c r="E33" s="49" t="s">
        <v>176</v>
      </c>
      <c r="F33" s="40">
        <v>22</v>
      </c>
    </row>
    <row r="34" spans="1:6">
      <c r="A34" s="53">
        <v>31</v>
      </c>
      <c r="B34" s="53" t="str">
        <f t="shared" si="0"/>
        <v>FL20S･W4埋込　スクエア□600</v>
      </c>
      <c r="C34" s="48" t="s">
        <v>18</v>
      </c>
      <c r="D34" s="41">
        <v>4</v>
      </c>
      <c r="E34" s="49" t="s">
        <v>222</v>
      </c>
      <c r="F34" s="40">
        <v>90</v>
      </c>
    </row>
    <row r="35" spans="1:6">
      <c r="A35" s="53">
        <v>32</v>
      </c>
      <c r="B35" s="53" t="str">
        <f t="shared" si="0"/>
        <v>FL40S･W3埋込W300</v>
      </c>
      <c r="C35" s="48" t="s">
        <v>16</v>
      </c>
      <c r="D35" s="41">
        <v>3</v>
      </c>
      <c r="E35" s="49" t="s">
        <v>223</v>
      </c>
      <c r="F35" s="40">
        <v>141</v>
      </c>
    </row>
    <row r="36" spans="1:6">
      <c r="A36" s="53">
        <v>33</v>
      </c>
      <c r="B36" s="53" t="str">
        <f t="shared" ref="B36:B67" si="1">C36&amp;D36&amp;E36</f>
        <v>FL20W2埋込W300　電池内蔵</v>
      </c>
      <c r="C36" s="45" t="s">
        <v>178</v>
      </c>
      <c r="D36" s="41">
        <v>2</v>
      </c>
      <c r="E36" s="49" t="s">
        <v>234</v>
      </c>
      <c r="F36" s="40">
        <v>44</v>
      </c>
    </row>
    <row r="37" spans="1:6">
      <c r="A37" s="53">
        <v>34</v>
      </c>
      <c r="B37" s="53" t="str">
        <f t="shared" si="1"/>
        <v>FL40S･W1半埋込</v>
      </c>
      <c r="C37" s="48" t="s">
        <v>16</v>
      </c>
      <c r="D37" s="41">
        <v>1</v>
      </c>
      <c r="E37" s="45" t="s">
        <v>235</v>
      </c>
      <c r="F37" s="40">
        <v>47</v>
      </c>
    </row>
    <row r="38" spans="1:6">
      <c r="A38" s="53">
        <v>35</v>
      </c>
      <c r="B38" s="53" t="str">
        <f t="shared" si="1"/>
        <v>FL10W1流し元灯</v>
      </c>
      <c r="C38" s="48" t="s">
        <v>88</v>
      </c>
      <c r="D38" s="41">
        <v>1</v>
      </c>
      <c r="E38" s="49" t="s">
        <v>229</v>
      </c>
      <c r="F38" s="40">
        <v>13</v>
      </c>
    </row>
    <row r="39" spans="1:6">
      <c r="A39" s="53">
        <v>36</v>
      </c>
      <c r="B39" s="53" t="str">
        <f t="shared" si="1"/>
        <v>FL20S･W6埋込　スクエア□900</v>
      </c>
      <c r="C39" s="48" t="s">
        <v>18</v>
      </c>
      <c r="D39" s="41">
        <v>6</v>
      </c>
      <c r="E39" s="49" t="s">
        <v>237</v>
      </c>
      <c r="F39" s="40">
        <v>135</v>
      </c>
    </row>
    <row r="40" spans="1:6">
      <c r="A40" s="53">
        <v>37</v>
      </c>
      <c r="B40" s="53" t="str">
        <f t="shared" si="1"/>
        <v>FL20S･W1埋込</v>
      </c>
      <c r="C40" s="48" t="s">
        <v>18</v>
      </c>
      <c r="D40" s="41">
        <v>1</v>
      </c>
      <c r="E40" s="49" t="s">
        <v>195</v>
      </c>
      <c r="F40" s="40">
        <v>22.5</v>
      </c>
    </row>
    <row r="41" spans="1:6">
      <c r="A41" s="53">
        <v>38</v>
      </c>
      <c r="B41" s="53" t="str">
        <f t="shared" si="1"/>
        <v>FL40S･W2逆富士</v>
      </c>
      <c r="C41" s="48" t="s">
        <v>16</v>
      </c>
      <c r="D41" s="41">
        <v>2</v>
      </c>
      <c r="E41" s="49" t="s">
        <v>176</v>
      </c>
      <c r="F41" s="40">
        <v>94</v>
      </c>
    </row>
    <row r="42" spans="1:6">
      <c r="A42" s="53">
        <v>39</v>
      </c>
      <c r="B42" s="53" t="str">
        <f t="shared" si="1"/>
        <v>FL40S･W2避難口誘導灯B級BH型（直管型）</v>
      </c>
      <c r="C42" s="48" t="s">
        <v>16</v>
      </c>
      <c r="D42" s="41">
        <v>2</v>
      </c>
      <c r="E42" s="49" t="s">
        <v>215</v>
      </c>
      <c r="F42" s="40">
        <v>50</v>
      </c>
    </row>
    <row r="43" spans="1:6">
      <c r="A43" s="53">
        <v>40</v>
      </c>
      <c r="B43" s="53" t="str">
        <f t="shared" si="1"/>
        <v>FL20S･W1通路誘導灯B級（直管型）</v>
      </c>
      <c r="C43" s="48" t="s">
        <v>18</v>
      </c>
      <c r="D43" s="41">
        <v>1</v>
      </c>
      <c r="E43" s="49" t="s">
        <v>217</v>
      </c>
      <c r="F43" s="40">
        <v>26</v>
      </c>
    </row>
    <row r="44" spans="1:6">
      <c r="A44" s="53">
        <v>41</v>
      </c>
      <c r="B44" s="53" t="str">
        <f t="shared" si="1"/>
        <v>FL20S･W1通路誘導灯B級BL型（直管型）</v>
      </c>
      <c r="C44" s="48" t="s">
        <v>18</v>
      </c>
      <c r="D44" s="41">
        <v>1</v>
      </c>
      <c r="E44" s="49" t="s">
        <v>210</v>
      </c>
      <c r="F44" s="40">
        <v>26</v>
      </c>
    </row>
    <row r="45" spans="1:6">
      <c r="A45" s="53">
        <v>42</v>
      </c>
      <c r="B45" s="53" t="str">
        <f t="shared" si="1"/>
        <v>FL40S･W1避難口誘導灯B級BH型（直管型）</v>
      </c>
      <c r="C45" s="48" t="s">
        <v>16</v>
      </c>
      <c r="D45" s="41">
        <v>1</v>
      </c>
      <c r="E45" s="49" t="s">
        <v>215</v>
      </c>
      <c r="F45" s="40">
        <v>50</v>
      </c>
    </row>
    <row r="46" spans="1:6">
      <c r="A46" s="53">
        <v>43</v>
      </c>
      <c r="B46" s="53" t="str">
        <f t="shared" si="1"/>
        <v>FL20S･W1避難口誘導灯B級BL型（直管型）</v>
      </c>
      <c r="C46" s="48" t="s">
        <v>18</v>
      </c>
      <c r="D46" s="41">
        <v>1</v>
      </c>
      <c r="E46" s="49" t="s">
        <v>209</v>
      </c>
      <c r="F46" s="40">
        <v>26</v>
      </c>
    </row>
    <row r="47" spans="1:6">
      <c r="A47" s="53">
        <v>44</v>
      </c>
      <c r="B47" s="53" t="str">
        <f t="shared" si="1"/>
        <v>FL20S･W1誘導灯B級BL型（直管型）</v>
      </c>
      <c r="C47" s="48" t="s">
        <v>18</v>
      </c>
      <c r="D47" s="41">
        <v>1</v>
      </c>
      <c r="E47" s="49" t="s">
        <v>17</v>
      </c>
      <c r="F47" s="40">
        <v>26</v>
      </c>
    </row>
    <row r="48" spans="1:6">
      <c r="A48" s="53">
        <v>45</v>
      </c>
      <c r="B48" s="53" t="str">
        <f t="shared" si="1"/>
        <v>6V10W1非常灯　電池内蔵</v>
      </c>
      <c r="C48" s="51" t="s">
        <v>84</v>
      </c>
      <c r="D48" s="41">
        <v>1</v>
      </c>
      <c r="E48" s="49" t="s">
        <v>239</v>
      </c>
      <c r="F48" s="40">
        <v>2</v>
      </c>
    </row>
    <row r="49" spans="1:6">
      <c r="A49" s="53">
        <v>46</v>
      </c>
      <c r="B49" s="53" t="str">
        <f t="shared" si="1"/>
        <v>6V10W1非常灯　電池内蔵　WP</v>
      </c>
      <c r="C49" s="48" t="s">
        <v>84</v>
      </c>
      <c r="D49" s="41">
        <v>1</v>
      </c>
      <c r="E49" s="49" t="s">
        <v>240</v>
      </c>
      <c r="F49" s="40">
        <v>10</v>
      </c>
    </row>
    <row r="50" spans="1:6">
      <c r="A50" s="53">
        <v>47</v>
      </c>
      <c r="B50" s="53" t="str">
        <f t="shared" si="1"/>
        <v>JD100/110V250WP-EN1投光器　非常灯？　重耐塩仕様</v>
      </c>
      <c r="C50" s="48" t="s">
        <v>87</v>
      </c>
      <c r="D50" s="41">
        <v>1</v>
      </c>
      <c r="E50" s="52" t="s">
        <v>199</v>
      </c>
      <c r="F50" s="40">
        <v>250</v>
      </c>
    </row>
    <row r="51" spans="1:6">
      <c r="A51" s="53">
        <v>48</v>
      </c>
      <c r="B51" s="53" t="str">
        <f t="shared" si="1"/>
        <v>FL+G60:J8020S･W2V202　非常灯</v>
      </c>
      <c r="C51" s="48" t="s">
        <v>346</v>
      </c>
      <c r="D51" s="41">
        <v>2</v>
      </c>
      <c r="E51" s="49" t="s">
        <v>75</v>
      </c>
      <c r="F51" s="40">
        <v>45</v>
      </c>
    </row>
    <row r="52" spans="1:6">
      <c r="A52" s="53">
        <v>49</v>
      </c>
      <c r="B52" s="53" t="str">
        <f t="shared" si="1"/>
        <v>FL20W＋IL40W2逆富士</v>
      </c>
      <c r="C52" s="48" t="s">
        <v>175</v>
      </c>
      <c r="D52" s="41">
        <v>2</v>
      </c>
      <c r="E52" s="49" t="s">
        <v>176</v>
      </c>
      <c r="F52" s="40">
        <v>44</v>
      </c>
    </row>
    <row r="53" spans="1:6">
      <c r="A53" s="53">
        <v>50</v>
      </c>
      <c r="B53" s="53" t="str">
        <f t="shared" si="1"/>
        <v>FL40W1逆富士</v>
      </c>
      <c r="C53" s="48" t="s">
        <v>177</v>
      </c>
      <c r="D53" s="41">
        <v>1</v>
      </c>
      <c r="E53" s="49" t="s">
        <v>176</v>
      </c>
      <c r="F53" s="40">
        <v>47</v>
      </c>
    </row>
    <row r="54" spans="1:6">
      <c r="A54" s="53">
        <v>51</v>
      </c>
      <c r="B54" s="53" t="str">
        <f t="shared" si="1"/>
        <v>FL20W2逆富士</v>
      </c>
      <c r="C54" s="48" t="s">
        <v>178</v>
      </c>
      <c r="D54" s="41">
        <v>2</v>
      </c>
      <c r="E54" s="49" t="s">
        <v>176</v>
      </c>
      <c r="F54" s="40">
        <v>44</v>
      </c>
    </row>
    <row r="55" spans="1:6">
      <c r="A55" s="53">
        <v>52</v>
      </c>
      <c r="B55" s="53" t="str">
        <f t="shared" si="1"/>
        <v>FL40W1片反射笠付</v>
      </c>
      <c r="C55" s="48" t="s">
        <v>177</v>
      </c>
      <c r="D55" s="41">
        <v>1</v>
      </c>
      <c r="E55" s="49" t="s">
        <v>185</v>
      </c>
      <c r="F55" s="40">
        <v>47</v>
      </c>
    </row>
    <row r="56" spans="1:6">
      <c r="A56" s="53">
        <v>53</v>
      </c>
      <c r="B56" s="53" t="str">
        <f t="shared" si="1"/>
        <v>FL40W2埋込</v>
      </c>
      <c r="C56" s="48" t="s">
        <v>177</v>
      </c>
      <c r="D56" s="41">
        <v>2</v>
      </c>
      <c r="E56" s="49" t="s">
        <v>186</v>
      </c>
      <c r="F56" s="40">
        <v>94</v>
      </c>
    </row>
    <row r="57" spans="1:6">
      <c r="A57" s="53">
        <v>54</v>
      </c>
      <c r="B57" s="53" t="str">
        <f t="shared" si="1"/>
        <v>FL40W＋IL40W2埋込</v>
      </c>
      <c r="C57" s="48" t="s">
        <v>179</v>
      </c>
      <c r="D57" s="41">
        <v>2</v>
      </c>
      <c r="E57" s="49" t="s">
        <v>186</v>
      </c>
      <c r="F57" s="40">
        <v>94</v>
      </c>
    </row>
    <row r="58" spans="1:6">
      <c r="A58" s="53">
        <v>55</v>
      </c>
      <c r="B58" s="53" t="str">
        <f t="shared" si="1"/>
        <v>LW110V60W1コップ灯</v>
      </c>
      <c r="C58" s="48" t="s">
        <v>20</v>
      </c>
      <c r="D58" s="41">
        <v>1</v>
      </c>
      <c r="E58" s="49" t="s">
        <v>96</v>
      </c>
      <c r="F58" s="40">
        <v>60</v>
      </c>
    </row>
    <row r="59" spans="1:6">
      <c r="A59" s="53">
        <v>56</v>
      </c>
      <c r="B59" s="53" t="str">
        <f t="shared" si="1"/>
        <v>LW110V40W1コップ灯</v>
      </c>
      <c r="C59" s="48" t="s">
        <v>138</v>
      </c>
      <c r="D59" s="41">
        <v>1</v>
      </c>
      <c r="E59" s="49" t="s">
        <v>96</v>
      </c>
      <c r="F59" s="40">
        <v>40</v>
      </c>
    </row>
    <row r="60" spans="1:6">
      <c r="A60" s="53">
        <v>57</v>
      </c>
      <c r="B60" s="53" t="str">
        <f t="shared" si="1"/>
        <v>FL20W1逆富士</v>
      </c>
      <c r="C60" s="48" t="s">
        <v>178</v>
      </c>
      <c r="D60" s="41">
        <v>1</v>
      </c>
      <c r="E60" s="49" t="s">
        <v>176</v>
      </c>
      <c r="F60" s="40">
        <v>22</v>
      </c>
    </row>
    <row r="61" spans="1:6">
      <c r="A61" s="53">
        <v>58</v>
      </c>
      <c r="B61" s="53" t="str">
        <f t="shared" si="1"/>
        <v>FL20W1ブラケット</v>
      </c>
      <c r="C61" s="48" t="s">
        <v>180</v>
      </c>
      <c r="D61" s="41">
        <v>1</v>
      </c>
      <c r="E61" s="49" t="s">
        <v>100</v>
      </c>
      <c r="F61" s="40">
        <v>47</v>
      </c>
    </row>
    <row r="62" spans="1:6">
      <c r="A62" s="53">
        <v>59</v>
      </c>
      <c r="B62" s="53" t="str">
        <f t="shared" si="1"/>
        <v>FL40W2笠付</v>
      </c>
      <c r="C62" s="48" t="s">
        <v>177</v>
      </c>
      <c r="D62" s="41">
        <v>2</v>
      </c>
      <c r="E62" s="49" t="s">
        <v>187</v>
      </c>
      <c r="F62" s="40">
        <v>94</v>
      </c>
    </row>
    <row r="63" spans="1:6">
      <c r="A63" s="53">
        <v>60</v>
      </c>
      <c r="B63" s="53" t="str">
        <f t="shared" si="1"/>
        <v>FL40W＋IL40W2笠付</v>
      </c>
      <c r="C63" s="48" t="s">
        <v>179</v>
      </c>
      <c r="D63" s="41">
        <v>2</v>
      </c>
      <c r="E63" s="49" t="s">
        <v>187</v>
      </c>
      <c r="F63" s="40">
        <v>94</v>
      </c>
    </row>
    <row r="64" spans="1:6">
      <c r="A64" s="53">
        <v>61</v>
      </c>
      <c r="B64" s="53" t="str">
        <f t="shared" si="1"/>
        <v>EFG15EN13 1ダウンライト</v>
      </c>
      <c r="C64" s="48" t="s">
        <v>181</v>
      </c>
      <c r="D64" s="41">
        <v>1</v>
      </c>
      <c r="E64" s="49" t="s">
        <v>188</v>
      </c>
      <c r="F64" s="40">
        <v>13</v>
      </c>
    </row>
    <row r="65" spans="1:6">
      <c r="A65" s="53">
        <v>62</v>
      </c>
      <c r="B65" s="53" t="str">
        <f t="shared" si="1"/>
        <v>FL20W＋IL40W2埋込</v>
      </c>
      <c r="C65" s="48" t="s">
        <v>175</v>
      </c>
      <c r="D65" s="41">
        <v>2</v>
      </c>
      <c r="E65" s="49" t="s">
        <v>186</v>
      </c>
      <c r="F65" s="40">
        <v>44</v>
      </c>
    </row>
    <row r="66" spans="1:6">
      <c r="A66" s="53">
        <v>63</v>
      </c>
      <c r="B66" s="53" t="str">
        <f t="shared" si="1"/>
        <v>FL40W1埋込</v>
      </c>
      <c r="C66" s="48" t="s">
        <v>177</v>
      </c>
      <c r="D66" s="41">
        <v>1</v>
      </c>
      <c r="E66" s="49" t="s">
        <v>194</v>
      </c>
      <c r="F66" s="40">
        <v>47</v>
      </c>
    </row>
    <row r="67" spans="1:6">
      <c r="A67" s="53">
        <v>64</v>
      </c>
      <c r="B67" s="53" t="str">
        <f t="shared" si="1"/>
        <v>FL40W1ブラケット</v>
      </c>
      <c r="C67" s="48" t="s">
        <v>177</v>
      </c>
      <c r="D67" s="41">
        <v>1</v>
      </c>
      <c r="E67" s="49" t="s">
        <v>161</v>
      </c>
      <c r="F67" s="40">
        <v>47</v>
      </c>
    </row>
    <row r="68" spans="1:6">
      <c r="A68" s="53">
        <v>65</v>
      </c>
      <c r="B68" s="53" t="str">
        <f t="shared" ref="B68:B89" si="2">C68&amp;D68&amp;E68</f>
        <v>FL40W2逆富士</v>
      </c>
      <c r="C68" s="48" t="s">
        <v>177</v>
      </c>
      <c r="D68" s="41">
        <v>2</v>
      </c>
      <c r="E68" s="49" t="s">
        <v>206</v>
      </c>
      <c r="F68" s="40">
        <v>94</v>
      </c>
    </row>
    <row r="69" spans="1:6">
      <c r="A69" s="53">
        <v>66</v>
      </c>
      <c r="B69" s="53" t="str">
        <f t="shared" si="2"/>
        <v>FL40W1埋込　SUS</v>
      </c>
      <c r="C69" s="48" t="s">
        <v>177</v>
      </c>
      <c r="D69" s="41">
        <v>1</v>
      </c>
      <c r="E69" s="49" t="s">
        <v>196</v>
      </c>
      <c r="F69" s="40">
        <v>47</v>
      </c>
    </row>
    <row r="70" spans="1:6">
      <c r="A70" s="53">
        <v>67</v>
      </c>
      <c r="B70" s="53" t="str">
        <f t="shared" si="2"/>
        <v>IL40W1コップ灯</v>
      </c>
      <c r="C70" s="48" t="s">
        <v>172</v>
      </c>
      <c r="D70" s="41">
        <v>1</v>
      </c>
      <c r="E70" s="49" t="s">
        <v>118</v>
      </c>
      <c r="F70" s="40">
        <v>47</v>
      </c>
    </row>
    <row r="71" spans="1:6">
      <c r="A71" s="53">
        <v>68</v>
      </c>
      <c r="B71" s="53" t="str">
        <f t="shared" si="2"/>
        <v>FL40W2シーリング　WP　SUS</v>
      </c>
      <c r="C71" s="48" t="s">
        <v>177</v>
      </c>
      <c r="D71" s="41">
        <v>2</v>
      </c>
      <c r="E71" s="49" t="s">
        <v>189</v>
      </c>
      <c r="F71" s="40">
        <v>94</v>
      </c>
    </row>
    <row r="72" spans="1:6">
      <c r="A72" s="53">
        <v>69</v>
      </c>
      <c r="B72" s="53" t="str">
        <f t="shared" si="2"/>
        <v>LW36W1ブラケット</v>
      </c>
      <c r="C72" s="48" t="s">
        <v>245</v>
      </c>
      <c r="D72" s="41">
        <v>1</v>
      </c>
      <c r="E72" s="49" t="s">
        <v>246</v>
      </c>
      <c r="F72" s="40">
        <v>36</v>
      </c>
    </row>
    <row r="73" spans="1:6">
      <c r="A73" s="53">
        <v>70</v>
      </c>
      <c r="B73" s="53" t="str">
        <f t="shared" si="2"/>
        <v>FL40W1埋込　プリズム</v>
      </c>
      <c r="C73" s="48" t="s">
        <v>177</v>
      </c>
      <c r="D73" s="41">
        <v>1</v>
      </c>
      <c r="E73" s="49" t="s">
        <v>197</v>
      </c>
      <c r="F73" s="40">
        <v>47</v>
      </c>
    </row>
    <row r="74" spans="1:6">
      <c r="A74" s="53">
        <v>71</v>
      </c>
      <c r="B74" s="53" t="str">
        <f t="shared" si="2"/>
        <v>LED1ダウンライト</v>
      </c>
      <c r="C74" s="48" t="s">
        <v>201</v>
      </c>
      <c r="D74" s="41">
        <v>1</v>
      </c>
      <c r="E74" s="49" t="s">
        <v>188</v>
      </c>
      <c r="F74" s="40">
        <v>13</v>
      </c>
    </row>
    <row r="75" spans="1:6">
      <c r="A75" s="53">
        <v>72</v>
      </c>
      <c r="B75" s="53" t="str">
        <f t="shared" si="2"/>
        <v>IL60W1ユニバーサルＤＬ</v>
      </c>
      <c r="C75" s="48" t="s">
        <v>11</v>
      </c>
      <c r="D75" s="41">
        <v>1</v>
      </c>
      <c r="E75" s="49" t="s">
        <v>38</v>
      </c>
      <c r="F75" s="40">
        <v>60</v>
      </c>
    </row>
    <row r="76" spans="1:6">
      <c r="A76" s="53">
        <v>73</v>
      </c>
      <c r="B76" s="53" t="str">
        <f t="shared" si="2"/>
        <v>FL40W＋IL40W2逆富士</v>
      </c>
      <c r="C76" s="48" t="s">
        <v>179</v>
      </c>
      <c r="D76" s="41">
        <v>2</v>
      </c>
      <c r="E76" s="49" t="s">
        <v>176</v>
      </c>
      <c r="F76" s="40">
        <v>94</v>
      </c>
    </row>
    <row r="77" spans="1:6">
      <c r="A77" s="53">
        <v>74</v>
      </c>
      <c r="B77" s="53" t="str">
        <f t="shared" si="2"/>
        <v>MF250W1投光器　重耐塩仕様</v>
      </c>
      <c r="C77" s="48" t="s">
        <v>182</v>
      </c>
      <c r="D77" s="41">
        <v>1</v>
      </c>
      <c r="E77" s="49" t="s">
        <v>190</v>
      </c>
      <c r="F77" s="40">
        <v>275</v>
      </c>
    </row>
    <row r="78" spans="1:6">
      <c r="A78" s="53">
        <v>75</v>
      </c>
      <c r="B78" s="53" t="str">
        <f t="shared" si="2"/>
        <v>MF1000W1投光器　重耐塩仕様</v>
      </c>
      <c r="C78" s="48" t="s">
        <v>183</v>
      </c>
      <c r="D78" s="41">
        <v>1</v>
      </c>
      <c r="E78" s="49" t="s">
        <v>191</v>
      </c>
      <c r="F78" s="40">
        <v>1100</v>
      </c>
    </row>
    <row r="79" spans="1:6">
      <c r="A79" s="53">
        <v>76</v>
      </c>
      <c r="B79" s="53" t="str">
        <f t="shared" si="2"/>
        <v>FL40W1逆富士　ＷＰ</v>
      </c>
      <c r="C79" s="48" t="s">
        <v>184</v>
      </c>
      <c r="D79" s="41">
        <v>1</v>
      </c>
      <c r="E79" s="49" t="s">
        <v>192</v>
      </c>
      <c r="F79" s="40">
        <v>22</v>
      </c>
    </row>
    <row r="80" spans="1:6">
      <c r="A80" s="53">
        <v>77</v>
      </c>
      <c r="B80" s="53" t="str">
        <f t="shared" si="2"/>
        <v>FL20W1避難口誘導灯B級BL型（直管型）</v>
      </c>
      <c r="C80" s="48" t="s">
        <v>178</v>
      </c>
      <c r="D80" s="41">
        <v>1</v>
      </c>
      <c r="E80" s="49" t="s">
        <v>209</v>
      </c>
      <c r="F80" s="40">
        <v>26</v>
      </c>
    </row>
    <row r="81" spans="1:6">
      <c r="A81" s="53">
        <v>78</v>
      </c>
      <c r="B81" s="53" t="str">
        <f t="shared" si="2"/>
        <v>FL10W1通路誘導灯C級（直管型）</v>
      </c>
      <c r="C81" s="48" t="s">
        <v>22</v>
      </c>
      <c r="D81" s="41">
        <v>1</v>
      </c>
      <c r="E81" s="49" t="s">
        <v>212</v>
      </c>
      <c r="F81" s="40">
        <v>15</v>
      </c>
    </row>
    <row r="82" spans="1:6">
      <c r="A82" s="53">
        <v>79</v>
      </c>
      <c r="B82" s="53" t="str">
        <f t="shared" si="2"/>
        <v>FL10W 1通路誘導灯C級（直管型）</v>
      </c>
      <c r="C82" s="48" t="s">
        <v>24</v>
      </c>
      <c r="D82" s="41">
        <v>1</v>
      </c>
      <c r="E82" s="49" t="s">
        <v>212</v>
      </c>
      <c r="F82" s="40">
        <v>15</v>
      </c>
    </row>
    <row r="83" spans="1:6">
      <c r="A83" s="53">
        <v>80</v>
      </c>
      <c r="B83" s="53" t="str">
        <f t="shared" si="2"/>
        <v>FL20W1通路誘導灯B級BL型（直管型）</v>
      </c>
      <c r="C83" s="48" t="s">
        <v>178</v>
      </c>
      <c r="D83" s="41">
        <v>1</v>
      </c>
      <c r="E83" s="49" t="s">
        <v>210</v>
      </c>
      <c r="F83" s="40">
        <v>26</v>
      </c>
    </row>
    <row r="84" spans="1:6">
      <c r="A84" s="53">
        <v>81</v>
      </c>
      <c r="B84" s="53" t="str">
        <f t="shared" si="2"/>
        <v>FL40W2避難口誘導灯A級（直管型）</v>
      </c>
      <c r="C84" s="48" t="s">
        <v>177</v>
      </c>
      <c r="D84" s="41">
        <v>2</v>
      </c>
      <c r="E84" s="49" t="s">
        <v>211</v>
      </c>
      <c r="F84" s="40">
        <v>98</v>
      </c>
    </row>
    <row r="85" spans="1:6">
      <c r="A85" s="53">
        <v>82</v>
      </c>
      <c r="B85" s="53" t="str">
        <f t="shared" si="2"/>
        <v>FL40W2避難口誘導灯</v>
      </c>
      <c r="C85" s="48" t="s">
        <v>177</v>
      </c>
      <c r="D85" s="41">
        <v>2</v>
      </c>
      <c r="E85" s="49" t="s">
        <v>214</v>
      </c>
      <c r="F85" s="40">
        <v>98</v>
      </c>
    </row>
    <row r="86" spans="1:6">
      <c r="A86" s="53">
        <v>83</v>
      </c>
      <c r="B86" s="53" t="str">
        <f t="shared" si="2"/>
        <v>PIL12V40WS35E171非常灯　電源別置</v>
      </c>
      <c r="C86" s="48" t="s">
        <v>170</v>
      </c>
      <c r="D86" s="41">
        <v>1</v>
      </c>
      <c r="E86" s="49" t="s">
        <v>193</v>
      </c>
      <c r="F86" s="40">
        <v>0</v>
      </c>
    </row>
    <row r="87" spans="1:6">
      <c r="A87" s="53">
        <v>84</v>
      </c>
      <c r="B87" s="53" t="str">
        <f t="shared" si="2"/>
        <v>IL40W1非常灯　電源別置　WP</v>
      </c>
      <c r="C87" s="48" t="s">
        <v>172</v>
      </c>
      <c r="D87" s="41">
        <v>1</v>
      </c>
      <c r="E87" s="49" t="s">
        <v>173</v>
      </c>
      <c r="F87" s="40">
        <v>0</v>
      </c>
    </row>
    <row r="88" spans="1:6">
      <c r="A88" s="53">
        <v>85</v>
      </c>
      <c r="B88" s="53" t="str">
        <f t="shared" si="2"/>
        <v>IL100W1投光器（保安灯）　重耐塩仕様</v>
      </c>
      <c r="C88" s="48" t="s">
        <v>168</v>
      </c>
      <c r="D88" s="41">
        <v>1</v>
      </c>
      <c r="E88" s="49" t="s">
        <v>249</v>
      </c>
      <c r="F88" s="40">
        <v>100</v>
      </c>
    </row>
    <row r="89" spans="1:6">
      <c r="A89" s="53">
        <v>86</v>
      </c>
      <c r="B89" s="53" t="str">
        <f t="shared" si="2"/>
        <v>IL100W1非常灯　電源別置　重耐塩仕様</v>
      </c>
      <c r="C89" s="48" t="s">
        <v>168</v>
      </c>
      <c r="D89" s="41">
        <v>1</v>
      </c>
      <c r="E89" s="49" t="s">
        <v>250</v>
      </c>
      <c r="F89" s="40">
        <v>0</v>
      </c>
    </row>
  </sheetData>
  <autoFilter ref="A3:F89" xr:uid="{2682B705-907F-4E21-B1B8-33810E8345AE}"/>
  <phoneticPr fontId="4"/>
  <dataValidations count="1">
    <dataValidation allowBlank="1" showInputMessage="1" showErrorMessage="1" sqref="E4:E49 E51:E88" xr:uid="{BD0741E7-AC55-489D-BD0B-04ADCD1D0DF7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A3CAC-2CB9-4D21-ACC5-37EF361C99B0}">
  <sheetPr>
    <tabColor rgb="FF00B050"/>
  </sheetPr>
  <dimension ref="A1:F20"/>
  <sheetViews>
    <sheetView workbookViewId="0">
      <selection activeCell="J19" sqref="J19"/>
    </sheetView>
  </sheetViews>
  <sheetFormatPr defaultRowHeight="17.649999999999999"/>
  <cols>
    <col min="1" max="1" width="21" bestFit="1" customWidth="1"/>
    <col min="2" max="2" width="13.3125" customWidth="1"/>
    <col min="3" max="3" width="6.875" bestFit="1" customWidth="1"/>
    <col min="4" max="4" width="8" bestFit="1" customWidth="1"/>
    <col min="5" max="5" width="11.625" bestFit="1" customWidth="1"/>
    <col min="6" max="6" width="27.0625" customWidth="1"/>
  </cols>
  <sheetData>
    <row r="1" spans="1:6">
      <c r="A1" s="24" t="s">
        <v>308</v>
      </c>
      <c r="B1" s="8"/>
      <c r="C1" s="8"/>
      <c r="D1" s="8"/>
      <c r="E1" s="8"/>
      <c r="F1" s="8"/>
    </row>
    <row r="2" spans="1:6" ht="19.149999999999999">
      <c r="A2" s="25"/>
      <c r="B2" s="8"/>
      <c r="C2" s="8"/>
      <c r="D2" s="8"/>
      <c r="E2" s="8"/>
      <c r="F2" s="8"/>
    </row>
    <row r="3" spans="1:6" ht="21">
      <c r="A3" s="26" t="s">
        <v>309</v>
      </c>
      <c r="B3" s="26" t="s">
        <v>310</v>
      </c>
      <c r="C3" s="27" t="s">
        <v>311</v>
      </c>
      <c r="D3" s="27" t="s">
        <v>312</v>
      </c>
      <c r="E3" s="27" t="s">
        <v>313</v>
      </c>
      <c r="F3" s="26" t="s">
        <v>6</v>
      </c>
    </row>
    <row r="4" spans="1:6">
      <c r="A4" s="60" t="s">
        <v>314</v>
      </c>
      <c r="B4" s="61" t="s">
        <v>527</v>
      </c>
      <c r="C4" s="62">
        <v>13</v>
      </c>
      <c r="D4" s="60">
        <v>362</v>
      </c>
      <c r="E4" s="64">
        <f>ROUNDUP(C4*D4,0)</f>
        <v>4706</v>
      </c>
      <c r="F4" s="28"/>
    </row>
    <row r="5" spans="1:6">
      <c r="A5" s="60" t="s">
        <v>526</v>
      </c>
      <c r="B5" s="61" t="s">
        <v>527</v>
      </c>
      <c r="C5" s="62">
        <v>13</v>
      </c>
      <c r="D5" s="60">
        <v>362</v>
      </c>
      <c r="E5" s="64">
        <f t="shared" ref="E5:E20" si="0">ROUNDUP(C5*D5,0)</f>
        <v>4706</v>
      </c>
      <c r="F5" s="28"/>
    </row>
    <row r="6" spans="1:6">
      <c r="A6" s="60" t="s">
        <v>529</v>
      </c>
      <c r="B6" s="61" t="s">
        <v>530</v>
      </c>
      <c r="C6" s="62">
        <v>12.75</v>
      </c>
      <c r="D6" s="60">
        <v>362</v>
      </c>
      <c r="E6" s="64">
        <f t="shared" si="0"/>
        <v>4616</v>
      </c>
      <c r="F6" s="28"/>
    </row>
    <row r="7" spans="1:6">
      <c r="A7" s="60" t="s">
        <v>315</v>
      </c>
      <c r="B7" s="61" t="s">
        <v>522</v>
      </c>
      <c r="C7" s="62">
        <v>11.5</v>
      </c>
      <c r="D7" s="60">
        <v>328</v>
      </c>
      <c r="E7" s="64">
        <f t="shared" si="0"/>
        <v>3772</v>
      </c>
      <c r="F7" s="28" t="s">
        <v>523</v>
      </c>
    </row>
    <row r="8" spans="1:6">
      <c r="A8" s="60" t="s">
        <v>524</v>
      </c>
      <c r="B8" s="61" t="s">
        <v>522</v>
      </c>
      <c r="C8" s="62">
        <v>11.5</v>
      </c>
      <c r="D8" s="60">
        <v>328</v>
      </c>
      <c r="E8" s="64">
        <f t="shared" si="0"/>
        <v>3772</v>
      </c>
      <c r="F8" s="28"/>
    </row>
    <row r="9" spans="1:6">
      <c r="A9" s="60" t="s">
        <v>525</v>
      </c>
      <c r="B9" s="61" t="s">
        <v>522</v>
      </c>
      <c r="C9" s="62">
        <v>11.5</v>
      </c>
      <c r="D9" s="60">
        <v>328</v>
      </c>
      <c r="E9" s="64">
        <f t="shared" si="0"/>
        <v>3772</v>
      </c>
      <c r="F9" s="28"/>
    </row>
    <row r="10" spans="1:6">
      <c r="A10" s="60" t="s">
        <v>316</v>
      </c>
      <c r="B10" s="61" t="s">
        <v>522</v>
      </c>
      <c r="C10" s="62">
        <v>6</v>
      </c>
      <c r="D10" s="60">
        <v>328</v>
      </c>
      <c r="E10" s="64">
        <f t="shared" si="0"/>
        <v>1968</v>
      </c>
      <c r="F10" s="28"/>
    </row>
    <row r="11" spans="1:6">
      <c r="A11" s="60" t="s">
        <v>532</v>
      </c>
      <c r="B11" s="61" t="s">
        <v>521</v>
      </c>
      <c r="C11" s="62">
        <v>5</v>
      </c>
      <c r="D11" s="60">
        <v>362</v>
      </c>
      <c r="E11" s="64">
        <f t="shared" si="0"/>
        <v>1810</v>
      </c>
      <c r="F11" s="28"/>
    </row>
    <row r="12" spans="1:6">
      <c r="A12" s="60" t="s">
        <v>533</v>
      </c>
      <c r="B12" s="61" t="s">
        <v>522</v>
      </c>
      <c r="C12" s="62">
        <v>3</v>
      </c>
      <c r="D12" s="60">
        <v>328</v>
      </c>
      <c r="E12" s="64">
        <f t="shared" si="0"/>
        <v>984</v>
      </c>
      <c r="F12" s="28"/>
    </row>
    <row r="13" spans="1:6">
      <c r="A13" s="60" t="s">
        <v>317</v>
      </c>
      <c r="B13" s="61" t="s">
        <v>527</v>
      </c>
      <c r="C13" s="62">
        <v>2</v>
      </c>
      <c r="D13" s="60">
        <v>362</v>
      </c>
      <c r="E13" s="64">
        <f t="shared" si="0"/>
        <v>724</v>
      </c>
      <c r="F13" s="28"/>
    </row>
    <row r="14" spans="1:6">
      <c r="A14" s="60" t="s">
        <v>318</v>
      </c>
      <c r="B14" s="61" t="s">
        <v>527</v>
      </c>
      <c r="C14" s="62">
        <v>1</v>
      </c>
      <c r="D14" s="60">
        <v>362</v>
      </c>
      <c r="E14" s="64">
        <f t="shared" si="0"/>
        <v>362</v>
      </c>
      <c r="F14" s="28" t="s">
        <v>319</v>
      </c>
    </row>
    <row r="15" spans="1:6">
      <c r="A15" s="60" t="s">
        <v>320</v>
      </c>
      <c r="B15" s="61" t="s">
        <v>527</v>
      </c>
      <c r="C15" s="62">
        <v>1</v>
      </c>
      <c r="D15" s="60">
        <v>362</v>
      </c>
      <c r="E15" s="64">
        <f t="shared" si="0"/>
        <v>362</v>
      </c>
      <c r="F15" s="28"/>
    </row>
    <row r="16" spans="1:6">
      <c r="A16" s="60" t="s">
        <v>531</v>
      </c>
      <c r="B16" s="61" t="s">
        <v>521</v>
      </c>
      <c r="C16" s="62">
        <v>15</v>
      </c>
      <c r="D16" s="60">
        <v>362</v>
      </c>
      <c r="E16" s="64">
        <f t="shared" si="0"/>
        <v>5430</v>
      </c>
      <c r="F16" s="28"/>
    </row>
    <row r="17" spans="1:6">
      <c r="A17" s="60" t="s">
        <v>520</v>
      </c>
      <c r="B17" s="61" t="s">
        <v>521</v>
      </c>
      <c r="C17" s="62">
        <v>2</v>
      </c>
      <c r="D17" s="60">
        <v>362</v>
      </c>
      <c r="E17" s="64">
        <f t="shared" si="0"/>
        <v>724</v>
      </c>
      <c r="F17" s="54"/>
    </row>
    <row r="18" spans="1:6">
      <c r="A18" s="60" t="s">
        <v>322</v>
      </c>
      <c r="B18" s="61" t="s">
        <v>519</v>
      </c>
      <c r="C18" s="62">
        <v>4.5</v>
      </c>
      <c r="D18" s="60">
        <v>365</v>
      </c>
      <c r="E18" s="64">
        <f t="shared" si="0"/>
        <v>1643</v>
      </c>
      <c r="F18" s="28"/>
    </row>
    <row r="19" spans="1:6">
      <c r="A19" s="60" t="s">
        <v>9</v>
      </c>
      <c r="B19" s="61" t="s">
        <v>321</v>
      </c>
      <c r="C19" s="62">
        <v>24</v>
      </c>
      <c r="D19" s="60">
        <v>365</v>
      </c>
      <c r="E19" s="64">
        <f t="shared" si="0"/>
        <v>8760</v>
      </c>
      <c r="F19" s="28"/>
    </row>
    <row r="20" spans="1:6">
      <c r="A20" s="60" t="s">
        <v>323</v>
      </c>
      <c r="B20" s="61" t="s">
        <v>321</v>
      </c>
      <c r="C20" s="62">
        <v>0</v>
      </c>
      <c r="D20" s="60">
        <v>365</v>
      </c>
      <c r="E20" s="64">
        <f t="shared" si="0"/>
        <v>0</v>
      </c>
      <c r="F20" s="28"/>
    </row>
  </sheetData>
  <phoneticPr fontId="4"/>
  <printOptions horizontalCentered="1"/>
  <pageMargins left="0.39370078740157483" right="0.39370078740157483" top="0.59055118110236227" bottom="0.59055118110236227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21B06-AA75-4C9F-BFDE-0CF4F14CC20B}">
  <sheetPr>
    <tabColor rgb="FF00B050"/>
  </sheetPr>
  <dimension ref="A1:K13"/>
  <sheetViews>
    <sheetView tabSelected="1" workbookViewId="0">
      <selection activeCell="A13" sqref="A13:F13"/>
    </sheetView>
  </sheetViews>
  <sheetFormatPr defaultRowHeight="17.649999999999999"/>
  <cols>
    <col min="1" max="1" width="14.625" customWidth="1"/>
    <col min="2" max="6" width="14.5625" customWidth="1"/>
    <col min="7" max="11" width="6.0625" customWidth="1"/>
  </cols>
  <sheetData>
    <row r="1" spans="1:11" ht="21.4">
      <c r="A1" s="25" t="s">
        <v>516</v>
      </c>
      <c r="B1" s="13"/>
      <c r="C1" s="8"/>
      <c r="D1" s="8"/>
      <c r="E1" s="8"/>
      <c r="F1" s="8"/>
      <c r="G1" s="8"/>
      <c r="H1" s="8"/>
      <c r="I1" s="8"/>
      <c r="J1" s="8"/>
      <c r="K1" s="8"/>
    </row>
    <row r="2" spans="1:11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>
      <c r="A3" s="10"/>
      <c r="B3" s="9" t="s">
        <v>14</v>
      </c>
      <c r="C3" s="9" t="s">
        <v>514</v>
      </c>
      <c r="D3" s="9" t="s">
        <v>330</v>
      </c>
      <c r="E3" s="29" t="s">
        <v>515</v>
      </c>
      <c r="F3" s="15" t="s">
        <v>280</v>
      </c>
    </row>
    <row r="4" spans="1:11" ht="28.9">
      <c r="A4" s="30" t="s">
        <v>331</v>
      </c>
      <c r="B4" s="31">
        <f>SUMIFS(既設照明器具リスト!$J$4:$J$173,既設照明器具リスト!$B$4:$B$173,"■",既設照明器具リスト!$D$4:$D$173,"屋外",既設照明器具リスト!$E$4:$E$173,"&lt;&gt;誘導灯",既設照明器具リスト!$E$4:$E$173,"&lt;&gt;非常用照明")</f>
        <v>19</v>
      </c>
      <c r="C4" s="31">
        <f>SUMIFS(既設照明器具リスト!$J$4:$J$173,既設照明器具リスト!$B$4:$B$173,"■",既設照明器具リスト!$D$4:$D$173,"B1",既設照明器具リスト!$E$4:$E$173,"&lt;&gt;誘導灯",既設照明器具リスト!$E$4:$E$173,"&lt;&gt;非常用照明")</f>
        <v>70</v>
      </c>
      <c r="D4" s="31">
        <f>SUMIFS(既設照明器具リスト!$J$4:$J$173,既設照明器具リスト!$B$4:$B$173,"■",既設照明器具リスト!$D$4:$D$173,"1F",既設照明器具リスト!$E$4:$E$173,"&lt;&gt;誘導灯",既設照明器具リスト!$E$4:$E$173,"&lt;&gt;非常用照明")</f>
        <v>260</v>
      </c>
      <c r="E4" s="32">
        <f>SUMIFS(既設照明器具リスト!$J$4:$J$173,既設照明器具リスト!$B$4:$B$173,"■",既設照明器具リスト!$D$4:$D$173,"2F",既設照明器具リスト!$E$4:$E$173,"&lt;&gt;誘導灯",既設照明器具リスト!$E$4:$E$173,"&lt;&gt;非常用照明")</f>
        <v>187</v>
      </c>
      <c r="F4" s="33">
        <f>SUM(B4:E4)</f>
        <v>536</v>
      </c>
    </row>
    <row r="5" spans="1:11" ht="28.9">
      <c r="A5" s="30" t="s">
        <v>332</v>
      </c>
      <c r="B5" s="31">
        <f>SUMIFS(既設照明器具リスト!$J$4:$J$173,既設照明器具リスト!$B$4:$B$173,"□",既設照明器具リスト!$D$4:$D$173,"屋外",既設照明器具リスト!$E$4:$E$173,"&lt;&gt;誘導灯",既設照明器具リスト!$E$4:$E$173,"&lt;&gt;非常用照明")</f>
        <v>0</v>
      </c>
      <c r="C5" s="31">
        <f>SUMIFS(既設照明器具リスト!$J$4:$J$173,既設照明器具リスト!$B$4:$B$173,"□",既設照明器具リスト!$D$4:$D$173,"B1",既設照明器具リスト!$E$4:$E$173,"&lt;&gt;誘導灯",既設照明器具リスト!$E$4:$E$173,"&lt;&gt;非常用照明")</f>
        <v>0</v>
      </c>
      <c r="D5" s="31">
        <f>SUMIFS(既設照明器具リスト!$J$4:$J$173,既設照明器具リスト!$B$4:$B$173,"□",既設照明器具リスト!$D$4:$D$173,"1F",既設照明器具リスト!$E$4:$E$173,"&lt;&gt;誘導灯",既設照明器具リスト!$E$4:$E$173,"&lt;&gt;非常用照明")</f>
        <v>14</v>
      </c>
      <c r="E5" s="32">
        <f>SUMIFS(既設照明器具リスト!$J$4:$J$173,既設照明器具リスト!$B$4:$B$173,"□",既設照明器具リスト!$D$4:$D$173,"2F",既設照明器具リスト!$E$4:$E$173,"&lt;&gt;誘導灯",既設照明器具リスト!$E$4:$E$173,"&lt;&gt;非常用照明")</f>
        <v>10</v>
      </c>
      <c r="F5" s="33">
        <f t="shared" ref="F5:F12" si="0">SUM(B5:E5)</f>
        <v>24</v>
      </c>
    </row>
    <row r="6" spans="1:11" ht="28.9">
      <c r="A6" s="30" t="s">
        <v>333</v>
      </c>
      <c r="B6" s="10">
        <f>SUMIFS(既設照明器具リスト!$J$4:$J$173,既設照明器具リスト!$B$4:$B$173,"■",既設照明器具リスト!$D$4:$D$173,"屋外",既設照明器具リスト!$E$4:$E$173,"誘導灯")</f>
        <v>0</v>
      </c>
      <c r="C6" s="10">
        <f>SUMIFS(既設照明器具リスト!$J$4:$J$173,既設照明器具リスト!$B$4:$B$173,"■",既設照明器具リスト!$D$4:$D$173,"B1",既設照明器具リスト!$E$4:$E$173,"誘導灯")</f>
        <v>6</v>
      </c>
      <c r="D6" s="10">
        <f>SUMIFS(既設照明器具リスト!$J$4:$J$173,既設照明器具リスト!$B$4:$B$173,"■",既設照明器具リスト!$D$4:$D$173,"1F",既設照明器具リスト!$E$4:$E$173,"誘導灯")</f>
        <v>32</v>
      </c>
      <c r="E6" s="34">
        <f>SUMIFS(既設照明器具リスト!$J$4:$J$173,既設照明器具リスト!$B$4:$B$173,"■",既設照明器具リスト!$D$4:$D$173,"2F",既設照明器具リスト!$E$4:$E$173,"誘導灯")</f>
        <v>4</v>
      </c>
      <c r="F6" s="33">
        <f t="shared" si="0"/>
        <v>42</v>
      </c>
    </row>
    <row r="7" spans="1:11" ht="28.9">
      <c r="A7" s="30" t="s">
        <v>538</v>
      </c>
      <c r="B7" s="10">
        <f>SUMIFS(既設照明器具リスト!$J$4:$J$173,既設照明器具リスト!$B$4:$B$173,"□",既設照明器具リスト!$D$4:$D$173,"屋外",既設照明器具リスト!$E$4:$E$173,"誘導灯")</f>
        <v>0</v>
      </c>
      <c r="C7" s="10">
        <f>SUMIFS(既設照明器具リスト!$J$4:$J$173,既設照明器具リスト!$B$4:$B$173,"□",既設照明器具リスト!$D$4:$D$173,"B1",既設照明器具リスト!$E$4:$E$173,"誘導灯")</f>
        <v>0</v>
      </c>
      <c r="D7" s="10">
        <f>SUMIFS(既設照明器具リスト!$J$4:$J$173,既設照明器具リスト!$B$4:$B$173,"□",既設照明器具リスト!$D$4:$D$173,"1F",既設照明器具リスト!$E$4:$E$173,"誘導灯")</f>
        <v>0</v>
      </c>
      <c r="E7" s="34">
        <f>SUMIFS(既設照明器具リスト!$J$4:$J$173,既設照明器具リスト!$B$4:$B$173,"□",既設照明器具リスト!$D$4:$D$173,"2F",既設照明器具リスト!$E$4:$E$173,"誘導灯")</f>
        <v>0</v>
      </c>
      <c r="F7" s="33">
        <f t="shared" si="0"/>
        <v>0</v>
      </c>
    </row>
    <row r="8" spans="1:11" ht="28.9">
      <c r="A8" s="30" t="s">
        <v>334</v>
      </c>
      <c r="B8" s="10">
        <f>SUMIFS(既設照明器具リスト!$J$4:$J$173,既設照明器具リスト!$B$4:$B$173,"■",既設照明器具リスト!$D$4:$D$173,"屋外",既設照明器具リスト!$E$4:$E$173,"非常用照明")</f>
        <v>0</v>
      </c>
      <c r="C8" s="10">
        <f>SUMIFS(既設照明器具リスト!$J$4:$J$173,既設照明器具リスト!$B$4:$B$173,"■",既設照明器具リスト!$D$4:$D$173,"B1",既設照明器具リスト!$E$4:$E$173,"非常用照明")</f>
        <v>0</v>
      </c>
      <c r="D8" s="10">
        <f>SUMIFS(既設照明器具リスト!$J$4:$J$173,既設照明器具リスト!$B$4:$B$173,"■",既設照明器具リスト!$D$4:$D$173,"1F",既設照明器具リスト!$E$4:$E$173,"非常用照明")</f>
        <v>33</v>
      </c>
      <c r="E8" s="34">
        <f>SUMIFS(既設照明器具リスト!$J$4:$J$173,既設照明器具リスト!$B$4:$B$173,"■",既設照明器具リスト!$D$4:$D$173,"2F",既設照明器具リスト!$E$4:$E$173,"非常用照明")</f>
        <v>29</v>
      </c>
      <c r="F8" s="33">
        <f t="shared" si="0"/>
        <v>62</v>
      </c>
    </row>
    <row r="9" spans="1:11" ht="29.25" thickBot="1">
      <c r="A9" s="35" t="s">
        <v>537</v>
      </c>
      <c r="B9" s="36">
        <f>SUMIFS(既設照明器具リスト!$J$4:$J$173,既設照明器具リスト!$B$4:$B$173,"□",既設照明器具リスト!$D$4:$D$173,"屋外",既設照明器具リスト!$E$4:$E$173,"非常用照明")</f>
        <v>0</v>
      </c>
      <c r="C9" s="36">
        <f>SUMIFS(既設照明器具リスト!$J$4:$J$173,既設照明器具リスト!$B$4:$B$173,"□",既設照明器具リスト!$D$4:$D$173,"B1",既設照明器具リスト!$E$4:$E$173,"非常用照明")</f>
        <v>0</v>
      </c>
      <c r="D9" s="36">
        <f>SUMIFS(既設照明器具リスト!$J$4:$J$173,既設照明器具リスト!$B$4:$B$173,"□",既設照明器具リスト!$D$4:$D$173,"1F",既設照明器具リスト!$E$4:$E$173,"非常用照明")</f>
        <v>0</v>
      </c>
      <c r="E9" s="37">
        <f>SUMIFS(既設照明器具リスト!$J$4:$J$173,既設照明器具リスト!$B$4:$B$173,"□",既設照明器具リスト!$D$4:$D$173,"2F",既設照明器具リスト!$E$4:$E$173,"非常用照明")</f>
        <v>0</v>
      </c>
      <c r="F9" s="38">
        <f t="shared" si="0"/>
        <v>0</v>
      </c>
    </row>
    <row r="10" spans="1:11" ht="29.25" thickTop="1">
      <c r="A10" s="56" t="s">
        <v>534</v>
      </c>
      <c r="B10" s="57">
        <f>B4+B6+B8</f>
        <v>19</v>
      </c>
      <c r="C10" s="57">
        <f t="shared" ref="C10:E10" si="1">C4+C6+C8</f>
        <v>76</v>
      </c>
      <c r="D10" s="57">
        <f t="shared" si="1"/>
        <v>325</v>
      </c>
      <c r="E10" s="59">
        <f t="shared" si="1"/>
        <v>220</v>
      </c>
      <c r="F10" s="58">
        <f t="shared" si="0"/>
        <v>640</v>
      </c>
    </row>
    <row r="11" spans="1:11" ht="28.9">
      <c r="A11" s="30" t="s">
        <v>535</v>
      </c>
      <c r="B11" s="31">
        <f>B5+B7+B9</f>
        <v>0</v>
      </c>
      <c r="C11" s="31">
        <f t="shared" ref="C11:E11" si="2">C5+C7+C9</f>
        <v>0</v>
      </c>
      <c r="D11" s="31">
        <f t="shared" si="2"/>
        <v>14</v>
      </c>
      <c r="E11" s="32">
        <f t="shared" si="2"/>
        <v>10</v>
      </c>
      <c r="F11" s="33">
        <f t="shared" si="0"/>
        <v>24</v>
      </c>
    </row>
    <row r="12" spans="1:11" ht="29" customHeight="1">
      <c r="A12" s="55" t="s">
        <v>536</v>
      </c>
      <c r="B12" s="31">
        <f>SUM(B4:B9)</f>
        <v>19</v>
      </c>
      <c r="C12" s="31">
        <f t="shared" ref="C12:E12" si="3">SUM(C4:C9)</f>
        <v>76</v>
      </c>
      <c r="D12" s="31">
        <f t="shared" si="3"/>
        <v>339</v>
      </c>
      <c r="E12" s="32">
        <f t="shared" si="3"/>
        <v>230</v>
      </c>
      <c r="F12" s="33">
        <f t="shared" si="0"/>
        <v>664</v>
      </c>
    </row>
    <row r="13" spans="1:11" ht="28.9" customHeight="1">
      <c r="A13" s="68" t="s">
        <v>542</v>
      </c>
      <c r="B13" s="68"/>
      <c r="C13" s="68"/>
      <c r="D13" s="68"/>
      <c r="E13" s="68"/>
      <c r="F13" s="68"/>
    </row>
  </sheetData>
  <mergeCells count="1">
    <mergeCell ref="A13:F13"/>
  </mergeCells>
  <phoneticPr fontId="4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30EE6-CB54-4DB6-958A-06CC0ADA6C69}">
  <sheetPr>
    <tabColor rgb="FF00B050"/>
  </sheetPr>
  <dimension ref="A1:O174"/>
  <sheetViews>
    <sheetView view="pageBreakPreview" zoomScale="80" zoomScaleNormal="80" zoomScaleSheetLayoutView="80" workbookViewId="0">
      <pane xSplit="1" ySplit="3" topLeftCell="B156" activePane="bottomRight" state="frozen"/>
      <selection activeCell="B3" sqref="B3"/>
      <selection pane="topRight" activeCell="B3" sqref="B3"/>
      <selection pane="bottomLeft" activeCell="B3" sqref="B3"/>
      <selection pane="bottomRight" activeCell="O174" sqref="O174"/>
    </sheetView>
  </sheetViews>
  <sheetFormatPr defaultRowHeight="17.649999999999999"/>
  <cols>
    <col min="1" max="2" width="6.5625" customWidth="1"/>
    <col min="3" max="3" width="9.6875" customWidth="1"/>
    <col min="4" max="4" width="4.5625" customWidth="1"/>
    <col min="5" max="5" width="25.5625" customWidth="1"/>
    <col min="6" max="6" width="26.8125" customWidth="1"/>
    <col min="7" max="7" width="20.75" customWidth="1"/>
    <col min="8" max="8" width="4.8125" customWidth="1"/>
    <col min="9" max="9" width="27.8125" customWidth="1"/>
    <col min="10" max="10" width="4.625" customWidth="1"/>
    <col min="11" max="11" width="10.4375" customWidth="1"/>
    <col min="12" max="12" width="12" hidden="1" customWidth="1"/>
    <col min="13" max="13" width="10.4375" customWidth="1"/>
    <col min="15" max="15" width="14.375" style="65" customWidth="1"/>
  </cols>
  <sheetData>
    <row r="1" spans="1:15" ht="21.4">
      <c r="A1" s="13" t="s">
        <v>541</v>
      </c>
      <c r="B1" s="13"/>
    </row>
    <row r="3" spans="1:15" ht="28.9">
      <c r="A3" s="42" t="s">
        <v>0</v>
      </c>
      <c r="B3" s="43" t="s">
        <v>335</v>
      </c>
      <c r="C3" s="42" t="s">
        <v>8</v>
      </c>
      <c r="D3" s="42" t="s">
        <v>1</v>
      </c>
      <c r="E3" s="42" t="s">
        <v>336</v>
      </c>
      <c r="F3" s="42" t="s">
        <v>7</v>
      </c>
      <c r="G3" s="42" t="s">
        <v>2</v>
      </c>
      <c r="H3" s="42" t="s">
        <v>3</v>
      </c>
      <c r="I3" s="42" t="s">
        <v>5</v>
      </c>
      <c r="J3" s="42" t="s">
        <v>4</v>
      </c>
      <c r="K3" s="43" t="s">
        <v>337</v>
      </c>
      <c r="L3" s="42" t="s">
        <v>326</v>
      </c>
      <c r="M3" s="43" t="s">
        <v>338</v>
      </c>
      <c r="N3" s="42" t="s">
        <v>339</v>
      </c>
      <c r="O3" s="66" t="s">
        <v>539</v>
      </c>
    </row>
    <row r="4" spans="1:15">
      <c r="A4" s="44" t="s">
        <v>340</v>
      </c>
      <c r="B4" s="42" t="s">
        <v>341</v>
      </c>
      <c r="C4" s="45"/>
      <c r="D4" s="46" t="s">
        <v>159</v>
      </c>
      <c r="E4" s="44" t="s">
        <v>322</v>
      </c>
      <c r="F4" s="47" t="s">
        <v>159</v>
      </c>
      <c r="G4" s="48" t="s">
        <v>163</v>
      </c>
      <c r="H4" s="41">
        <v>2</v>
      </c>
      <c r="I4" s="49" t="s">
        <v>160</v>
      </c>
      <c r="J4" s="39">
        <v>2</v>
      </c>
      <c r="K4" s="40">
        <f>VLOOKUP(E4,照明設備稼働時間!$A$4:$F$20,5,FALSE)</f>
        <v>1643</v>
      </c>
      <c r="L4" s="40" t="str">
        <f>G4&amp;H4&amp;I4</f>
        <v>MF2502外灯</v>
      </c>
      <c r="M4" s="40">
        <f>VLOOKUP(L4,照明器具種類!$B$4:$F$89,5,FALSE)</f>
        <v>550</v>
      </c>
      <c r="N4" s="44">
        <v>1</v>
      </c>
      <c r="O4" s="67">
        <f>(J4*K4*M4*N4)/1000</f>
        <v>1807.3</v>
      </c>
    </row>
    <row r="5" spans="1:15">
      <c r="A5" s="44" t="s">
        <v>342</v>
      </c>
      <c r="B5" s="42" t="s">
        <v>341</v>
      </c>
      <c r="C5" s="45"/>
      <c r="D5" s="46" t="s">
        <v>159</v>
      </c>
      <c r="E5" s="44" t="s">
        <v>322</v>
      </c>
      <c r="F5" s="47" t="s">
        <v>159</v>
      </c>
      <c r="G5" s="48" t="s">
        <v>163</v>
      </c>
      <c r="H5" s="41">
        <v>1</v>
      </c>
      <c r="I5" s="49" t="s">
        <v>160</v>
      </c>
      <c r="J5" s="39">
        <v>1</v>
      </c>
      <c r="K5" s="40">
        <f>VLOOKUP(E5,照明設備稼働時間!$A$4:$F$20,5,FALSE)</f>
        <v>1643</v>
      </c>
      <c r="L5" s="40" t="str">
        <f t="shared" ref="L5:L68" si="0">G5&amp;H5&amp;I5</f>
        <v>MF2501外灯</v>
      </c>
      <c r="M5" s="40">
        <f>VLOOKUP(L5,照明器具種類!$B$4:$F$89,5,FALSE)</f>
        <v>275</v>
      </c>
      <c r="N5" s="44">
        <v>1</v>
      </c>
      <c r="O5" s="67">
        <f t="shared" ref="O5:O68" si="1">(J5*K5*M5*N5)/1000</f>
        <v>451.82499999999999</v>
      </c>
    </row>
    <row r="6" spans="1:15">
      <c r="A6" s="44" t="s">
        <v>343</v>
      </c>
      <c r="B6" s="42" t="s">
        <v>341</v>
      </c>
      <c r="C6" s="45"/>
      <c r="D6" s="46" t="s">
        <v>159</v>
      </c>
      <c r="E6" s="44" t="s">
        <v>322</v>
      </c>
      <c r="F6" s="47" t="s">
        <v>159</v>
      </c>
      <c r="G6" s="48" t="s">
        <v>163</v>
      </c>
      <c r="H6" s="41">
        <v>1</v>
      </c>
      <c r="I6" s="49" t="s">
        <v>160</v>
      </c>
      <c r="J6" s="39">
        <v>2</v>
      </c>
      <c r="K6" s="40">
        <f>VLOOKUP(E6,照明設備稼働時間!$A$4:$F$20,5,FALSE)</f>
        <v>1643</v>
      </c>
      <c r="L6" s="40" t="str">
        <f t="shared" si="0"/>
        <v>MF2501外灯</v>
      </c>
      <c r="M6" s="40">
        <f>VLOOKUP(L6,照明器具種類!$B$4:$F$89,5,FALSE)</f>
        <v>275</v>
      </c>
      <c r="N6" s="44">
        <v>1</v>
      </c>
      <c r="O6" s="67">
        <f t="shared" si="1"/>
        <v>903.65</v>
      </c>
    </row>
    <row r="7" spans="1:15">
      <c r="A7" s="44" t="s">
        <v>344</v>
      </c>
      <c r="B7" s="42" t="s">
        <v>341</v>
      </c>
      <c r="C7" s="45"/>
      <c r="D7" s="46" t="s">
        <v>159</v>
      </c>
      <c r="E7" s="44" t="s">
        <v>322</v>
      </c>
      <c r="F7" s="47" t="s">
        <v>159</v>
      </c>
      <c r="G7" s="48" t="s">
        <v>18</v>
      </c>
      <c r="H7" s="41">
        <v>1</v>
      </c>
      <c r="I7" s="49" t="s">
        <v>161</v>
      </c>
      <c r="J7" s="39">
        <v>7</v>
      </c>
      <c r="K7" s="40">
        <f>VLOOKUP(E7,照明設備稼働時間!$A$4:$F$20,5,FALSE)</f>
        <v>1643</v>
      </c>
      <c r="L7" s="40" t="str">
        <f t="shared" si="0"/>
        <v>FL20S･W1ブラケット</v>
      </c>
      <c r="M7" s="40">
        <f>VLOOKUP(L7,照明器具種類!$B$4:$F$89,5,FALSE)</f>
        <v>22.5</v>
      </c>
      <c r="N7" s="44">
        <v>1</v>
      </c>
      <c r="O7" s="67">
        <f t="shared" si="1"/>
        <v>258.77249999999998</v>
      </c>
    </row>
    <row r="8" spans="1:15">
      <c r="A8" s="44" t="s">
        <v>347</v>
      </c>
      <c r="B8" s="42" t="s">
        <v>341</v>
      </c>
      <c r="C8" s="45"/>
      <c r="D8" s="46" t="s">
        <v>159</v>
      </c>
      <c r="E8" s="44" t="s">
        <v>322</v>
      </c>
      <c r="F8" s="47" t="s">
        <v>159</v>
      </c>
      <c r="G8" s="48" t="s">
        <v>164</v>
      </c>
      <c r="H8" s="41">
        <v>1</v>
      </c>
      <c r="I8" s="49" t="s">
        <v>162</v>
      </c>
      <c r="J8" s="39">
        <v>3</v>
      </c>
      <c r="K8" s="40">
        <f>VLOOKUP(E8,照明設備稼働時間!$A$4:$F$20,5,FALSE)</f>
        <v>1643</v>
      </c>
      <c r="L8" s="40" t="str">
        <f t="shared" si="0"/>
        <v>FHT42×11防犯灯</v>
      </c>
      <c r="M8" s="40">
        <f>VLOOKUP(L8,照明器具種類!$B$4:$F$89,5,FALSE)</f>
        <v>42</v>
      </c>
      <c r="N8" s="44">
        <v>1</v>
      </c>
      <c r="O8" s="67">
        <f t="shared" si="1"/>
        <v>207.018</v>
      </c>
    </row>
    <row r="9" spans="1:15">
      <c r="A9" s="44" t="s">
        <v>348</v>
      </c>
      <c r="B9" s="42" t="s">
        <v>341</v>
      </c>
      <c r="C9" s="45"/>
      <c r="D9" s="46" t="s">
        <v>159</v>
      </c>
      <c r="E9" s="44" t="s">
        <v>322</v>
      </c>
      <c r="F9" s="47" t="s">
        <v>159</v>
      </c>
      <c r="G9" s="48" t="s">
        <v>165</v>
      </c>
      <c r="H9" s="41">
        <v>1</v>
      </c>
      <c r="I9" s="49" t="s">
        <v>35</v>
      </c>
      <c r="J9" s="39">
        <v>4</v>
      </c>
      <c r="K9" s="40">
        <f>VLOOKUP(E9,照明設備稼働時間!$A$4:$F$20,5,FALSE)</f>
        <v>1643</v>
      </c>
      <c r="L9" s="40" t="str">
        <f t="shared" si="0"/>
        <v>RF3001投光器</v>
      </c>
      <c r="M9" s="40">
        <f>VLOOKUP(L9,照明器具種類!$B$4:$F$89,5,FALSE)</f>
        <v>300</v>
      </c>
      <c r="N9" s="44">
        <v>1</v>
      </c>
      <c r="O9" s="67">
        <f t="shared" si="1"/>
        <v>1971.6</v>
      </c>
    </row>
    <row r="10" spans="1:15">
      <c r="A10" s="44" t="s">
        <v>349</v>
      </c>
      <c r="B10" s="42" t="s">
        <v>341</v>
      </c>
      <c r="C10" s="2"/>
      <c r="D10" s="46" t="s">
        <v>28</v>
      </c>
      <c r="E10" s="44" t="s">
        <v>520</v>
      </c>
      <c r="F10" s="47" t="s">
        <v>29</v>
      </c>
      <c r="G10" s="48" t="s">
        <v>16</v>
      </c>
      <c r="H10" s="41">
        <v>2</v>
      </c>
      <c r="I10" s="49" t="s">
        <v>225</v>
      </c>
      <c r="J10" s="39">
        <v>2</v>
      </c>
      <c r="K10" s="40">
        <f>VLOOKUP(E10,照明設備稼働時間!$A$4:$F$20,5,FALSE)</f>
        <v>724</v>
      </c>
      <c r="L10" s="40" t="str">
        <f t="shared" si="0"/>
        <v>FL40S･W2笠付</v>
      </c>
      <c r="M10" s="40">
        <f>VLOOKUP(L10,照明器具種類!$B$4:$F$89,5,FALSE)</f>
        <v>94</v>
      </c>
      <c r="N10" s="44">
        <v>1</v>
      </c>
      <c r="O10" s="67">
        <f t="shared" si="1"/>
        <v>136.11199999999999</v>
      </c>
    </row>
    <row r="11" spans="1:15">
      <c r="A11" s="44" t="s">
        <v>350</v>
      </c>
      <c r="B11" s="42" t="s">
        <v>341</v>
      </c>
      <c r="C11" s="2"/>
      <c r="D11" s="46" t="s">
        <v>28</v>
      </c>
      <c r="E11" s="44" t="s">
        <v>531</v>
      </c>
      <c r="F11" s="47" t="s">
        <v>30</v>
      </c>
      <c r="G11" s="48" t="s">
        <v>16</v>
      </c>
      <c r="H11" s="41">
        <v>2</v>
      </c>
      <c r="I11" s="49" t="s">
        <v>225</v>
      </c>
      <c r="J11" s="39">
        <v>2</v>
      </c>
      <c r="K11" s="40">
        <f>VLOOKUP(E11,照明設備稼働時間!$A$4:$F$20,5,FALSE)</f>
        <v>5430</v>
      </c>
      <c r="L11" s="40" t="str">
        <f t="shared" si="0"/>
        <v>FL40S･W2笠付</v>
      </c>
      <c r="M11" s="40">
        <f>VLOOKUP(L11,照明器具種類!$B$4:$F$89,5,FALSE)</f>
        <v>94</v>
      </c>
      <c r="N11" s="44">
        <v>1</v>
      </c>
      <c r="O11" s="67">
        <f t="shared" si="1"/>
        <v>1020.84</v>
      </c>
    </row>
    <row r="12" spans="1:15">
      <c r="A12" s="44" t="s">
        <v>351</v>
      </c>
      <c r="B12" s="42" t="s">
        <v>341</v>
      </c>
      <c r="C12" s="2"/>
      <c r="D12" s="46" t="s">
        <v>28</v>
      </c>
      <c r="E12" s="44" t="s">
        <v>531</v>
      </c>
      <c r="F12" s="47" t="s">
        <v>30</v>
      </c>
      <c r="G12" s="48" t="s">
        <v>18</v>
      </c>
      <c r="H12" s="41">
        <v>2</v>
      </c>
      <c r="I12" s="49" t="s">
        <v>206</v>
      </c>
      <c r="J12" s="39">
        <v>6</v>
      </c>
      <c r="K12" s="40">
        <f>VLOOKUP(E12,照明設備稼働時間!$A$4:$F$20,5,FALSE)</f>
        <v>5430</v>
      </c>
      <c r="L12" s="40" t="str">
        <f t="shared" si="0"/>
        <v>FL20S･W2逆富士</v>
      </c>
      <c r="M12" s="40">
        <f>VLOOKUP(L12,照明器具種類!$B$4:$F$89,5,FALSE)</f>
        <v>45</v>
      </c>
      <c r="N12" s="44">
        <v>1</v>
      </c>
      <c r="O12" s="67">
        <f t="shared" si="1"/>
        <v>1466.1</v>
      </c>
    </row>
    <row r="13" spans="1:15">
      <c r="A13" s="44" t="s">
        <v>352</v>
      </c>
      <c r="B13" s="42" t="s">
        <v>341</v>
      </c>
      <c r="C13" s="2"/>
      <c r="D13" s="46" t="s">
        <v>28</v>
      </c>
      <c r="E13" s="44" t="s">
        <v>531</v>
      </c>
      <c r="F13" s="47" t="s">
        <v>30</v>
      </c>
      <c r="G13" s="48" t="s">
        <v>226</v>
      </c>
      <c r="H13" s="41">
        <v>1</v>
      </c>
      <c r="I13" s="49" t="s">
        <v>31</v>
      </c>
      <c r="J13" s="39">
        <v>2</v>
      </c>
      <c r="K13" s="40">
        <f>VLOOKUP(E13,照明設備稼働時間!$A$4:$F$20,5,FALSE)</f>
        <v>5430</v>
      </c>
      <c r="L13" s="40" t="str">
        <f t="shared" si="0"/>
        <v>RF2001RF200投光器</v>
      </c>
      <c r="M13" s="40">
        <f>VLOOKUP(L13,照明器具種類!$B$4:$F$89,5,FALSE)</f>
        <v>200</v>
      </c>
      <c r="N13" s="44">
        <v>1</v>
      </c>
      <c r="O13" s="67">
        <f t="shared" si="1"/>
        <v>2172</v>
      </c>
    </row>
    <row r="14" spans="1:15">
      <c r="A14" s="44" t="s">
        <v>353</v>
      </c>
      <c r="B14" s="42" t="s">
        <v>341</v>
      </c>
      <c r="C14" s="2"/>
      <c r="D14" s="46" t="s">
        <v>28</v>
      </c>
      <c r="E14" s="44" t="s">
        <v>531</v>
      </c>
      <c r="F14" s="47" t="s">
        <v>32</v>
      </c>
      <c r="G14" s="48" t="s">
        <v>18</v>
      </c>
      <c r="H14" s="41">
        <v>1</v>
      </c>
      <c r="I14" s="49" t="s">
        <v>227</v>
      </c>
      <c r="J14" s="39">
        <v>2</v>
      </c>
      <c r="K14" s="40">
        <f>VLOOKUP(E14,照明設備稼働時間!$A$4:$F$20,5,FALSE)</f>
        <v>5430</v>
      </c>
      <c r="L14" s="40" t="str">
        <f t="shared" si="0"/>
        <v>FL20S･W1片反射</v>
      </c>
      <c r="M14" s="40">
        <f>VLOOKUP(L14,照明器具種類!$B$4:$F$89,5,FALSE)</f>
        <v>22.5</v>
      </c>
      <c r="N14" s="44">
        <v>1</v>
      </c>
      <c r="O14" s="67">
        <f t="shared" si="1"/>
        <v>244.35</v>
      </c>
    </row>
    <row r="15" spans="1:15">
      <c r="A15" s="44" t="s">
        <v>354</v>
      </c>
      <c r="B15" s="42" t="s">
        <v>341</v>
      </c>
      <c r="C15" s="2" t="s">
        <v>33</v>
      </c>
      <c r="D15" s="46" t="s">
        <v>12</v>
      </c>
      <c r="E15" s="44" t="s">
        <v>315</v>
      </c>
      <c r="F15" s="47" t="s">
        <v>34</v>
      </c>
      <c r="G15" s="48" t="s">
        <v>82</v>
      </c>
      <c r="H15" s="41">
        <v>1</v>
      </c>
      <c r="I15" s="49" t="s">
        <v>205</v>
      </c>
      <c r="J15" s="39">
        <v>3</v>
      </c>
      <c r="K15" s="40">
        <f>VLOOKUP(E15,照明設備稼働時間!$A$4:$F$20,5,FALSE)</f>
        <v>3772</v>
      </c>
      <c r="L15" s="40" t="str">
        <f t="shared" si="0"/>
        <v>FDL18EX-N1ダウンライト　軒下用　WP</v>
      </c>
      <c r="M15" s="40">
        <f>VLOOKUP(L15,照明器具種類!$B$4:$F$89,5,FALSE)</f>
        <v>13</v>
      </c>
      <c r="N15" s="44">
        <v>1</v>
      </c>
      <c r="O15" s="67">
        <f t="shared" si="1"/>
        <v>147.108</v>
      </c>
    </row>
    <row r="16" spans="1:15">
      <c r="A16" s="44" t="s">
        <v>355</v>
      </c>
      <c r="B16" s="42" t="s">
        <v>341</v>
      </c>
      <c r="C16" s="2"/>
      <c r="D16" s="46" t="s">
        <v>12</v>
      </c>
      <c r="E16" s="44" t="s">
        <v>315</v>
      </c>
      <c r="F16" s="47" t="s">
        <v>34</v>
      </c>
      <c r="G16" s="48" t="s">
        <v>219</v>
      </c>
      <c r="H16" s="41">
        <v>1</v>
      </c>
      <c r="I16" s="49" t="s">
        <v>35</v>
      </c>
      <c r="J16" s="39">
        <v>2</v>
      </c>
      <c r="K16" s="40">
        <f>VLOOKUP(E16,照明設備稼働時間!$A$4:$F$20,5,FALSE)</f>
        <v>3772</v>
      </c>
      <c r="L16" s="40" t="str">
        <f t="shared" si="0"/>
        <v>HF100W1投光器</v>
      </c>
      <c r="M16" s="40">
        <f>VLOOKUP(L16,照明器具種類!$B$4:$F$89,5,FALSE)</f>
        <v>120</v>
      </c>
      <c r="N16" s="44">
        <v>1</v>
      </c>
      <c r="O16" s="67">
        <f t="shared" si="1"/>
        <v>905.28</v>
      </c>
    </row>
    <row r="17" spans="1:15">
      <c r="A17" s="44" t="s">
        <v>356</v>
      </c>
      <c r="B17" s="42" t="s">
        <v>341</v>
      </c>
      <c r="C17" s="2"/>
      <c r="D17" s="46" t="s">
        <v>12</v>
      </c>
      <c r="E17" s="44" t="s">
        <v>315</v>
      </c>
      <c r="F17" s="47" t="s">
        <v>37</v>
      </c>
      <c r="G17" s="48" t="s">
        <v>16</v>
      </c>
      <c r="H17" s="41">
        <v>4</v>
      </c>
      <c r="I17" s="49" t="s">
        <v>221</v>
      </c>
      <c r="J17" s="39">
        <v>1</v>
      </c>
      <c r="K17" s="40">
        <f>VLOOKUP(E17,照明設備稼働時間!$A$4:$F$20,5,FALSE)</f>
        <v>3772</v>
      </c>
      <c r="L17" s="40" t="str">
        <f t="shared" si="0"/>
        <v>FL40S･W4埋込　スクエア□1000</v>
      </c>
      <c r="M17" s="40">
        <f>VLOOKUP(L17,照明器具種類!$B$4:$F$89,5,FALSE)</f>
        <v>188</v>
      </c>
      <c r="N17" s="44">
        <v>1</v>
      </c>
      <c r="O17" s="67">
        <f t="shared" si="1"/>
        <v>709.13599999999997</v>
      </c>
    </row>
    <row r="18" spans="1:15">
      <c r="A18" s="44" t="s">
        <v>357</v>
      </c>
      <c r="B18" s="42" t="s">
        <v>341</v>
      </c>
      <c r="C18" s="2"/>
      <c r="D18" s="46" t="s">
        <v>12</v>
      </c>
      <c r="E18" s="44" t="s">
        <v>315</v>
      </c>
      <c r="F18" s="47" t="s">
        <v>37</v>
      </c>
      <c r="G18" s="48" t="s">
        <v>16</v>
      </c>
      <c r="H18" s="41">
        <v>1</v>
      </c>
      <c r="I18" s="49" t="s">
        <v>206</v>
      </c>
      <c r="J18" s="39">
        <v>4</v>
      </c>
      <c r="K18" s="40">
        <f>VLOOKUP(E18,照明設備稼働時間!$A$4:$F$20,5,FALSE)</f>
        <v>3772</v>
      </c>
      <c r="L18" s="40" t="str">
        <f t="shared" si="0"/>
        <v>FL40S･W1逆富士</v>
      </c>
      <c r="M18" s="40">
        <f>VLOOKUP(L18,照明器具種類!$B$4:$F$89,5,FALSE)</f>
        <v>47</v>
      </c>
      <c r="N18" s="44">
        <v>1</v>
      </c>
      <c r="O18" s="67">
        <f t="shared" si="1"/>
        <v>709.13599999999997</v>
      </c>
    </row>
    <row r="19" spans="1:15">
      <c r="A19" s="44" t="s">
        <v>358</v>
      </c>
      <c r="B19" s="42" t="s">
        <v>341</v>
      </c>
      <c r="C19" s="2"/>
      <c r="D19" s="46" t="s">
        <v>12</v>
      </c>
      <c r="E19" s="44" t="s">
        <v>315</v>
      </c>
      <c r="F19" s="47" t="s">
        <v>37</v>
      </c>
      <c r="G19" s="48" t="s">
        <v>83</v>
      </c>
      <c r="H19" s="41">
        <v>1</v>
      </c>
      <c r="I19" s="49" t="s">
        <v>38</v>
      </c>
      <c r="J19" s="39">
        <v>2</v>
      </c>
      <c r="K19" s="40">
        <f>VLOOKUP(E19,照明設備稼働時間!$A$4:$F$20,5,FALSE)</f>
        <v>3772</v>
      </c>
      <c r="L19" s="40" t="str">
        <f t="shared" si="0"/>
        <v>BRF80W1ユニバーサルＤＬ</v>
      </c>
      <c r="M19" s="40">
        <f>VLOOKUP(L19,照明器具種類!$B$4:$F$89,5,FALSE)</f>
        <v>80</v>
      </c>
      <c r="N19" s="44">
        <v>1</v>
      </c>
      <c r="O19" s="67">
        <f t="shared" si="1"/>
        <v>603.52</v>
      </c>
    </row>
    <row r="20" spans="1:15">
      <c r="A20" s="44" t="s">
        <v>359</v>
      </c>
      <c r="B20" s="42" t="s">
        <v>341</v>
      </c>
      <c r="C20" s="2"/>
      <c r="D20" s="46" t="s">
        <v>41</v>
      </c>
      <c r="E20" s="44" t="s">
        <v>315</v>
      </c>
      <c r="F20" s="47" t="s">
        <v>42</v>
      </c>
      <c r="G20" s="48" t="s">
        <v>16</v>
      </c>
      <c r="H20" s="41">
        <v>4</v>
      </c>
      <c r="I20" s="49" t="s">
        <v>221</v>
      </c>
      <c r="J20" s="39">
        <v>3</v>
      </c>
      <c r="K20" s="40">
        <f>VLOOKUP(E20,照明設備稼働時間!$A$4:$F$20,5,FALSE)</f>
        <v>3772</v>
      </c>
      <c r="L20" s="40" t="str">
        <f t="shared" si="0"/>
        <v>FL40S･W4埋込　スクエア□1000</v>
      </c>
      <c r="M20" s="40">
        <f>VLOOKUP(L20,照明器具種類!$B$4:$F$89,5,FALSE)</f>
        <v>188</v>
      </c>
      <c r="N20" s="44">
        <v>1</v>
      </c>
      <c r="O20" s="67">
        <f t="shared" si="1"/>
        <v>2127.4079999999999</v>
      </c>
    </row>
    <row r="21" spans="1:15">
      <c r="A21" s="44" t="s">
        <v>360</v>
      </c>
      <c r="B21" s="42" t="s">
        <v>341</v>
      </c>
      <c r="C21" s="2"/>
      <c r="D21" s="46" t="s">
        <v>41</v>
      </c>
      <c r="E21" s="44" t="s">
        <v>315</v>
      </c>
      <c r="F21" s="47" t="s">
        <v>42</v>
      </c>
      <c r="G21" s="48" t="s">
        <v>18</v>
      </c>
      <c r="H21" s="41">
        <v>1</v>
      </c>
      <c r="I21" s="49" t="s">
        <v>43</v>
      </c>
      <c r="J21" s="39">
        <v>1</v>
      </c>
      <c r="K21" s="40">
        <f>VLOOKUP(E21,照明設備稼働時間!$A$4:$F$20,5,FALSE)</f>
        <v>3772</v>
      </c>
      <c r="L21" s="40" t="str">
        <f t="shared" si="0"/>
        <v>FL20S･W1ミラー灯</v>
      </c>
      <c r="M21" s="40">
        <f>VLOOKUP(L21,照明器具種類!$B$4:$F$89,5,FALSE)</f>
        <v>22.5</v>
      </c>
      <c r="N21" s="44">
        <v>1</v>
      </c>
      <c r="O21" s="67">
        <f t="shared" si="1"/>
        <v>84.87</v>
      </c>
    </row>
    <row r="22" spans="1:15">
      <c r="A22" s="44" t="s">
        <v>361</v>
      </c>
      <c r="B22" s="42" t="s">
        <v>341</v>
      </c>
      <c r="C22" s="2"/>
      <c r="D22" s="46" t="s">
        <v>41</v>
      </c>
      <c r="E22" s="44" t="s">
        <v>315</v>
      </c>
      <c r="F22" s="47" t="s">
        <v>42</v>
      </c>
      <c r="G22" s="48" t="s">
        <v>16</v>
      </c>
      <c r="H22" s="41">
        <v>1</v>
      </c>
      <c r="I22" s="49" t="s">
        <v>206</v>
      </c>
      <c r="J22" s="39">
        <v>7</v>
      </c>
      <c r="K22" s="40">
        <f>VLOOKUP(E22,照明設備稼働時間!$A$4:$F$20,5,FALSE)</f>
        <v>3772</v>
      </c>
      <c r="L22" s="40" t="str">
        <f t="shared" si="0"/>
        <v>FL40S･W1逆富士</v>
      </c>
      <c r="M22" s="40">
        <f>VLOOKUP(L22,照明器具種類!$B$4:$F$89,5,FALSE)</f>
        <v>47</v>
      </c>
      <c r="N22" s="44">
        <v>1</v>
      </c>
      <c r="O22" s="67">
        <f t="shared" si="1"/>
        <v>1240.9880000000001</v>
      </c>
    </row>
    <row r="23" spans="1:15">
      <c r="A23" s="44" t="s">
        <v>362</v>
      </c>
      <c r="B23" s="42" t="s">
        <v>341</v>
      </c>
      <c r="C23" s="2" t="s">
        <v>44</v>
      </c>
      <c r="D23" s="46" t="s">
        <v>12</v>
      </c>
      <c r="E23" s="44" t="s">
        <v>524</v>
      </c>
      <c r="F23" s="47" t="s">
        <v>45</v>
      </c>
      <c r="G23" s="48" t="s">
        <v>18</v>
      </c>
      <c r="H23" s="41">
        <v>2</v>
      </c>
      <c r="I23" s="49" t="s">
        <v>243</v>
      </c>
      <c r="J23" s="39">
        <v>3</v>
      </c>
      <c r="K23" s="40">
        <f>VLOOKUP(E23,照明設備稼働時間!$A$4:$F$20,5,FALSE)</f>
        <v>3772</v>
      </c>
      <c r="L23" s="40" t="str">
        <f t="shared" si="0"/>
        <v>FL20S･W2逆富士　電池内蔵</v>
      </c>
      <c r="M23" s="40">
        <f>VLOOKUP(L23,照明器具種類!$B$4:$F$89,5,FALSE)</f>
        <v>44</v>
      </c>
      <c r="N23" s="44">
        <v>1</v>
      </c>
      <c r="O23" s="67">
        <f t="shared" si="1"/>
        <v>497.904</v>
      </c>
    </row>
    <row r="24" spans="1:15">
      <c r="A24" s="44" t="s">
        <v>363</v>
      </c>
      <c r="B24" s="42" t="s">
        <v>345</v>
      </c>
      <c r="C24" s="3"/>
      <c r="D24" s="46" t="s">
        <v>12</v>
      </c>
      <c r="E24" s="44" t="s">
        <v>524</v>
      </c>
      <c r="F24" s="47" t="s">
        <v>45</v>
      </c>
      <c r="G24" s="48" t="s">
        <v>201</v>
      </c>
      <c r="H24" s="41">
        <v>1</v>
      </c>
      <c r="I24" s="49" t="s">
        <v>218</v>
      </c>
      <c r="J24" s="39">
        <v>6</v>
      </c>
      <c r="K24" s="40">
        <f>VLOOKUP(E24,照明設備稼働時間!$A$4:$F$20,5,FALSE)</f>
        <v>3772</v>
      </c>
      <c r="L24" s="40" t="str">
        <f t="shared" si="0"/>
        <v>LED1直付</v>
      </c>
      <c r="M24" s="40">
        <f>VLOOKUP(L24,照明器具種類!$B$4:$F$89,5,FALSE)</f>
        <v>20</v>
      </c>
      <c r="N24" s="44">
        <v>1</v>
      </c>
      <c r="O24" s="67">
        <f t="shared" si="1"/>
        <v>452.64</v>
      </c>
    </row>
    <row r="25" spans="1:15">
      <c r="A25" s="44" t="s">
        <v>364</v>
      </c>
      <c r="B25" s="42" t="s">
        <v>341</v>
      </c>
      <c r="C25" s="2"/>
      <c r="D25" s="46" t="s">
        <v>41</v>
      </c>
      <c r="E25" s="44" t="s">
        <v>525</v>
      </c>
      <c r="F25" s="47" t="s">
        <v>47</v>
      </c>
      <c r="G25" s="48" t="s">
        <v>16</v>
      </c>
      <c r="H25" s="41">
        <v>2</v>
      </c>
      <c r="I25" s="49" t="s">
        <v>230</v>
      </c>
      <c r="J25" s="39">
        <v>1</v>
      </c>
      <c r="K25" s="40">
        <f>VLOOKUP(E25,照明設備稼働時間!$A$4:$F$20,5,FALSE)</f>
        <v>3772</v>
      </c>
      <c r="L25" s="40" t="str">
        <f t="shared" si="0"/>
        <v>FL40S･W2埋込　WP</v>
      </c>
      <c r="M25" s="40">
        <f>VLOOKUP(L25,照明器具種類!$B$4:$F$89,5,FALSE)</f>
        <v>94</v>
      </c>
      <c r="N25" s="44">
        <v>1</v>
      </c>
      <c r="O25" s="67">
        <f t="shared" si="1"/>
        <v>354.56799999999998</v>
      </c>
    </row>
    <row r="26" spans="1:15">
      <c r="A26" s="44" t="s">
        <v>365</v>
      </c>
      <c r="B26" s="42" t="s">
        <v>341</v>
      </c>
      <c r="C26" s="2"/>
      <c r="D26" s="46" t="s">
        <v>41</v>
      </c>
      <c r="E26" s="44" t="s">
        <v>525</v>
      </c>
      <c r="F26" s="47" t="s">
        <v>47</v>
      </c>
      <c r="G26" s="48" t="s">
        <v>16</v>
      </c>
      <c r="H26" s="41">
        <v>1</v>
      </c>
      <c r="I26" s="49" t="s">
        <v>231</v>
      </c>
      <c r="J26" s="39">
        <v>1</v>
      </c>
      <c r="K26" s="40">
        <f>VLOOKUP(E26,照明設備稼働時間!$A$4:$F$20,5,FALSE)</f>
        <v>3772</v>
      </c>
      <c r="L26" s="40" t="str">
        <f t="shared" si="0"/>
        <v>FL40S･W1逆富士　WP</v>
      </c>
      <c r="M26" s="40">
        <f>VLOOKUP(L26,照明器具種類!$B$4:$F$89,5,FALSE)</f>
        <v>47</v>
      </c>
      <c r="N26" s="44">
        <v>1</v>
      </c>
      <c r="O26" s="67">
        <f t="shared" si="1"/>
        <v>177.28399999999999</v>
      </c>
    </row>
    <row r="27" spans="1:15">
      <c r="A27" s="44" t="s">
        <v>366</v>
      </c>
      <c r="B27" s="42" t="s">
        <v>341</v>
      </c>
      <c r="C27" s="2"/>
      <c r="D27" s="46" t="s">
        <v>41</v>
      </c>
      <c r="E27" s="44" t="s">
        <v>316</v>
      </c>
      <c r="F27" s="47" t="s">
        <v>202</v>
      </c>
      <c r="G27" s="48" t="s">
        <v>16</v>
      </c>
      <c r="H27" s="41">
        <v>1</v>
      </c>
      <c r="I27" s="49" t="s">
        <v>206</v>
      </c>
      <c r="J27" s="39">
        <v>2</v>
      </c>
      <c r="K27" s="40">
        <f>VLOOKUP(E27,照明設備稼働時間!$A$4:$F$20,5,FALSE)</f>
        <v>1968</v>
      </c>
      <c r="L27" s="40" t="str">
        <f t="shared" si="0"/>
        <v>FL40S･W1逆富士</v>
      </c>
      <c r="M27" s="40">
        <f>VLOOKUP(L27,照明器具種類!$B$4:$F$89,5,FALSE)</f>
        <v>47</v>
      </c>
      <c r="N27" s="44">
        <v>1</v>
      </c>
      <c r="O27" s="67">
        <f t="shared" si="1"/>
        <v>184.99199999999999</v>
      </c>
    </row>
    <row r="28" spans="1:15">
      <c r="A28" s="44" t="s">
        <v>367</v>
      </c>
      <c r="B28" s="42" t="s">
        <v>341</v>
      </c>
      <c r="C28" s="2"/>
      <c r="D28" s="46" t="s">
        <v>41</v>
      </c>
      <c r="E28" s="44" t="s">
        <v>314</v>
      </c>
      <c r="F28" s="47" t="s">
        <v>48</v>
      </c>
      <c r="G28" s="48" t="s">
        <v>16</v>
      </c>
      <c r="H28" s="41">
        <v>2</v>
      </c>
      <c r="I28" s="49" t="s">
        <v>228</v>
      </c>
      <c r="J28" s="39">
        <v>10</v>
      </c>
      <c r="K28" s="40">
        <f>VLOOKUP(E28,照明設備稼働時間!$A$4:$F$20,5,FALSE)</f>
        <v>4706</v>
      </c>
      <c r="L28" s="40" t="str">
        <f t="shared" si="0"/>
        <v>FL40S･W2埋込　</v>
      </c>
      <c r="M28" s="40">
        <f>VLOOKUP(L28,照明器具種類!$B$4:$F$89,5,FALSE)</f>
        <v>94</v>
      </c>
      <c r="N28" s="44">
        <v>1</v>
      </c>
      <c r="O28" s="67">
        <f t="shared" si="1"/>
        <v>4423.6400000000003</v>
      </c>
    </row>
    <row r="29" spans="1:15">
      <c r="A29" s="44" t="s">
        <v>368</v>
      </c>
      <c r="B29" s="42" t="s">
        <v>341</v>
      </c>
      <c r="C29" s="2"/>
      <c r="D29" s="46" t="s">
        <v>41</v>
      </c>
      <c r="E29" s="44" t="s">
        <v>314</v>
      </c>
      <c r="F29" s="47" t="s">
        <v>48</v>
      </c>
      <c r="G29" s="48" t="s">
        <v>18</v>
      </c>
      <c r="H29" s="41">
        <v>1</v>
      </c>
      <c r="I29" s="49" t="s">
        <v>229</v>
      </c>
      <c r="J29" s="39">
        <v>2</v>
      </c>
      <c r="K29" s="40">
        <f>VLOOKUP(E29,照明設備稼働時間!$A$4:$F$20,5,FALSE)</f>
        <v>4706</v>
      </c>
      <c r="L29" s="40" t="str">
        <f t="shared" si="0"/>
        <v>FL20S･W1流し元灯</v>
      </c>
      <c r="M29" s="40">
        <f>VLOOKUP(L29,照明器具種類!$B$4:$F$89,5,FALSE)</f>
        <v>22.5</v>
      </c>
      <c r="N29" s="44">
        <v>1</v>
      </c>
      <c r="O29" s="67">
        <f t="shared" si="1"/>
        <v>211.77</v>
      </c>
    </row>
    <row r="30" spans="1:15">
      <c r="A30" s="44" t="s">
        <v>369</v>
      </c>
      <c r="B30" s="42" t="s">
        <v>341</v>
      </c>
      <c r="C30" s="2"/>
      <c r="D30" s="46" t="s">
        <v>41</v>
      </c>
      <c r="E30" s="44" t="s">
        <v>315</v>
      </c>
      <c r="F30" s="47" t="s">
        <v>49</v>
      </c>
      <c r="G30" s="48" t="s">
        <v>18</v>
      </c>
      <c r="H30" s="41">
        <v>2</v>
      </c>
      <c r="I30" s="49" t="s">
        <v>206</v>
      </c>
      <c r="J30" s="39">
        <v>1</v>
      </c>
      <c r="K30" s="40">
        <f>VLOOKUP(E30,照明設備稼働時間!$A$4:$F$20,5,FALSE)</f>
        <v>3772</v>
      </c>
      <c r="L30" s="40" t="str">
        <f t="shared" si="0"/>
        <v>FL20S･W2逆富士</v>
      </c>
      <c r="M30" s="40">
        <f>VLOOKUP(L30,照明器具種類!$B$4:$F$89,5,FALSE)</f>
        <v>45</v>
      </c>
      <c r="N30" s="44">
        <v>1</v>
      </c>
      <c r="O30" s="67">
        <f t="shared" si="1"/>
        <v>169.74</v>
      </c>
    </row>
    <row r="31" spans="1:15">
      <c r="A31" s="44" t="s">
        <v>370</v>
      </c>
      <c r="B31" s="42" t="s">
        <v>341</v>
      </c>
      <c r="C31" s="3" t="s">
        <v>52</v>
      </c>
      <c r="D31" s="46" t="s">
        <v>12</v>
      </c>
      <c r="E31" s="44" t="s">
        <v>315</v>
      </c>
      <c r="F31" s="47" t="s">
        <v>51</v>
      </c>
      <c r="G31" s="48" t="s">
        <v>18</v>
      </c>
      <c r="H31" s="41">
        <v>2</v>
      </c>
      <c r="I31" s="49" t="s">
        <v>233</v>
      </c>
      <c r="J31" s="39">
        <v>13</v>
      </c>
      <c r="K31" s="40">
        <f>VLOOKUP(E31,照明設備稼働時間!$A$4:$F$20,5,FALSE)</f>
        <v>3772</v>
      </c>
      <c r="L31" s="40" t="str">
        <f t="shared" si="0"/>
        <v>FL20S･W2逆富士　WP　電池内蔵</v>
      </c>
      <c r="M31" s="40">
        <f>VLOOKUP(L31,照明器具種類!$B$4:$F$89,5,FALSE)</f>
        <v>44</v>
      </c>
      <c r="N31" s="44">
        <v>1</v>
      </c>
      <c r="O31" s="67">
        <f t="shared" si="1"/>
        <v>2157.5839999999998</v>
      </c>
    </row>
    <row r="32" spans="1:15">
      <c r="A32" s="44" t="s">
        <v>371</v>
      </c>
      <c r="B32" s="42" t="s">
        <v>345</v>
      </c>
      <c r="C32" s="3"/>
      <c r="D32" s="46" t="s">
        <v>12</v>
      </c>
      <c r="E32" s="44" t="s">
        <v>524</v>
      </c>
      <c r="F32" s="47" t="s">
        <v>220</v>
      </c>
      <c r="G32" s="48" t="s">
        <v>201</v>
      </c>
      <c r="H32" s="41">
        <v>1</v>
      </c>
      <c r="I32" s="49" t="s">
        <v>218</v>
      </c>
      <c r="J32" s="39">
        <v>2</v>
      </c>
      <c r="K32" s="40">
        <f>VLOOKUP(E32,照明設備稼働時間!$A$4:$F$20,5,FALSE)</f>
        <v>3772</v>
      </c>
      <c r="L32" s="40" t="str">
        <f t="shared" si="0"/>
        <v>LED1直付</v>
      </c>
      <c r="M32" s="40">
        <f>VLOOKUP(L32,照明器具種類!$B$4:$F$89,5,FALSE)</f>
        <v>20</v>
      </c>
      <c r="N32" s="44">
        <v>1</v>
      </c>
      <c r="O32" s="67">
        <f t="shared" si="1"/>
        <v>150.88</v>
      </c>
    </row>
    <row r="33" spans="1:15">
      <c r="A33" s="44" t="s">
        <v>372</v>
      </c>
      <c r="B33" s="42" t="s">
        <v>341</v>
      </c>
      <c r="C33" s="3" t="s">
        <v>44</v>
      </c>
      <c r="D33" s="46" t="s">
        <v>12</v>
      </c>
      <c r="E33" s="44" t="s">
        <v>524</v>
      </c>
      <c r="F33" s="47" t="s">
        <v>54</v>
      </c>
      <c r="G33" s="48" t="s">
        <v>18</v>
      </c>
      <c r="H33" s="41">
        <v>2</v>
      </c>
      <c r="I33" s="49" t="s">
        <v>244</v>
      </c>
      <c r="J33" s="39">
        <v>3</v>
      </c>
      <c r="K33" s="40">
        <f>VLOOKUP(E33,照明設備稼働時間!$A$4:$F$20,5,FALSE)</f>
        <v>3772</v>
      </c>
      <c r="L33" s="40" t="str">
        <f t="shared" si="0"/>
        <v>FL20S･W2逆富士　電池内蔵</v>
      </c>
      <c r="M33" s="40">
        <f>VLOOKUP(L33,照明器具種類!$B$4:$F$89,5,FALSE)</f>
        <v>44</v>
      </c>
      <c r="N33" s="44">
        <v>1</v>
      </c>
      <c r="O33" s="67">
        <f t="shared" si="1"/>
        <v>497.904</v>
      </c>
    </row>
    <row r="34" spans="1:15">
      <c r="A34" s="44" t="s">
        <v>373</v>
      </c>
      <c r="B34" s="42" t="s">
        <v>345</v>
      </c>
      <c r="C34" s="3"/>
      <c r="D34" s="46" t="s">
        <v>12</v>
      </c>
      <c r="E34" s="44" t="s">
        <v>524</v>
      </c>
      <c r="F34" s="47" t="s">
        <v>54</v>
      </c>
      <c r="G34" s="48" t="s">
        <v>201</v>
      </c>
      <c r="H34" s="41">
        <v>1</v>
      </c>
      <c r="I34" s="49" t="s">
        <v>218</v>
      </c>
      <c r="J34" s="39">
        <v>6</v>
      </c>
      <c r="K34" s="40">
        <f>VLOOKUP(E34,照明設備稼働時間!$A$4:$F$20,5,FALSE)</f>
        <v>3772</v>
      </c>
      <c r="L34" s="40" t="str">
        <f t="shared" si="0"/>
        <v>LED1直付</v>
      </c>
      <c r="M34" s="40">
        <f>VLOOKUP(L34,照明器具種類!$B$4:$F$89,5,FALSE)</f>
        <v>20</v>
      </c>
      <c r="N34" s="44">
        <v>1</v>
      </c>
      <c r="O34" s="67">
        <f t="shared" si="1"/>
        <v>452.64</v>
      </c>
    </row>
    <row r="35" spans="1:15">
      <c r="A35" s="44" t="s">
        <v>374</v>
      </c>
      <c r="B35" s="42" t="s">
        <v>341</v>
      </c>
      <c r="C35" s="3" t="s">
        <v>55</v>
      </c>
      <c r="D35" s="46" t="s">
        <v>12</v>
      </c>
      <c r="E35" s="44" t="s">
        <v>524</v>
      </c>
      <c r="F35" s="47" t="s">
        <v>56</v>
      </c>
      <c r="G35" s="48" t="s">
        <v>16</v>
      </c>
      <c r="H35" s="41">
        <v>2</v>
      </c>
      <c r="I35" s="49" t="s">
        <v>230</v>
      </c>
      <c r="J35" s="39">
        <v>1</v>
      </c>
      <c r="K35" s="40">
        <f>VLOOKUP(E35,照明設備稼働時間!$A$4:$F$20,5,FALSE)</f>
        <v>3772</v>
      </c>
      <c r="L35" s="40" t="str">
        <f t="shared" si="0"/>
        <v>FL40S･W2埋込　WP</v>
      </c>
      <c r="M35" s="40">
        <f>VLOOKUP(L35,照明器具種類!$B$4:$F$89,5,FALSE)</f>
        <v>94</v>
      </c>
      <c r="N35" s="44">
        <v>1</v>
      </c>
      <c r="O35" s="67">
        <f t="shared" si="1"/>
        <v>354.56799999999998</v>
      </c>
    </row>
    <row r="36" spans="1:15">
      <c r="A36" s="44" t="s">
        <v>375</v>
      </c>
      <c r="B36" s="42" t="s">
        <v>341</v>
      </c>
      <c r="C36" s="3"/>
      <c r="D36" s="46" t="s">
        <v>41</v>
      </c>
      <c r="E36" s="44" t="s">
        <v>524</v>
      </c>
      <c r="F36" s="47" t="s">
        <v>56</v>
      </c>
      <c r="G36" s="48" t="s">
        <v>16</v>
      </c>
      <c r="H36" s="41">
        <v>1</v>
      </c>
      <c r="I36" s="49" t="s">
        <v>231</v>
      </c>
      <c r="J36" s="39">
        <v>1</v>
      </c>
      <c r="K36" s="40">
        <f>VLOOKUP(E36,照明設備稼働時間!$A$4:$F$20,5,FALSE)</f>
        <v>3772</v>
      </c>
      <c r="L36" s="40" t="str">
        <f t="shared" si="0"/>
        <v>FL40S･W1逆富士　WP</v>
      </c>
      <c r="M36" s="40">
        <f>VLOOKUP(L36,照明器具種類!$B$4:$F$89,5,FALSE)</f>
        <v>47</v>
      </c>
      <c r="N36" s="44">
        <v>1</v>
      </c>
      <c r="O36" s="67">
        <f t="shared" si="1"/>
        <v>177.28399999999999</v>
      </c>
    </row>
    <row r="37" spans="1:15">
      <c r="A37" s="44" t="s">
        <v>376</v>
      </c>
      <c r="B37" s="42" t="s">
        <v>341</v>
      </c>
      <c r="C37" s="3"/>
      <c r="D37" s="46" t="s">
        <v>41</v>
      </c>
      <c r="E37" s="44" t="s">
        <v>316</v>
      </c>
      <c r="F37" s="47" t="s">
        <v>203</v>
      </c>
      <c r="G37" s="48" t="s">
        <v>16</v>
      </c>
      <c r="H37" s="41">
        <v>1</v>
      </c>
      <c r="I37" s="49" t="s">
        <v>176</v>
      </c>
      <c r="J37" s="39">
        <v>2</v>
      </c>
      <c r="K37" s="40">
        <f>VLOOKUP(E37,照明設備稼働時間!$A$4:$F$20,5,FALSE)</f>
        <v>1968</v>
      </c>
      <c r="L37" s="40" t="str">
        <f t="shared" si="0"/>
        <v>FL40S･W1逆富士</v>
      </c>
      <c r="M37" s="40">
        <f>VLOOKUP(L37,照明器具種類!$B$4:$F$89,5,FALSE)</f>
        <v>47</v>
      </c>
      <c r="N37" s="44">
        <v>1</v>
      </c>
      <c r="O37" s="67">
        <f t="shared" si="1"/>
        <v>184.99199999999999</v>
      </c>
    </row>
    <row r="38" spans="1:15">
      <c r="A38" s="44" t="s">
        <v>377</v>
      </c>
      <c r="B38" s="42" t="s">
        <v>341</v>
      </c>
      <c r="C38" s="3"/>
      <c r="D38" s="46" t="s">
        <v>41</v>
      </c>
      <c r="E38" s="44" t="s">
        <v>526</v>
      </c>
      <c r="F38" s="47" t="s">
        <v>57</v>
      </c>
      <c r="G38" s="48" t="s">
        <v>16</v>
      </c>
      <c r="H38" s="41">
        <v>2</v>
      </c>
      <c r="I38" s="49" t="s">
        <v>195</v>
      </c>
      <c r="J38" s="39">
        <v>1</v>
      </c>
      <c r="K38" s="40">
        <f>VLOOKUP(E38,照明設備稼働時間!$A$4:$F$20,5,FALSE)</f>
        <v>4706</v>
      </c>
      <c r="L38" s="40" t="str">
        <f t="shared" si="0"/>
        <v>FL40S･W2埋込</v>
      </c>
      <c r="M38" s="40">
        <f>VLOOKUP(L38,照明器具種類!$B$4:$F$89,5,FALSE)</f>
        <v>94</v>
      </c>
      <c r="N38" s="44">
        <v>1</v>
      </c>
      <c r="O38" s="67">
        <f t="shared" si="1"/>
        <v>442.36399999999998</v>
      </c>
    </row>
    <row r="39" spans="1:15">
      <c r="A39" s="44" t="s">
        <v>378</v>
      </c>
      <c r="B39" s="42" t="s">
        <v>341</v>
      </c>
      <c r="C39" s="3"/>
      <c r="D39" s="46" t="s">
        <v>41</v>
      </c>
      <c r="E39" s="44" t="s">
        <v>526</v>
      </c>
      <c r="F39" s="47" t="s">
        <v>57</v>
      </c>
      <c r="G39" s="48" t="s">
        <v>16</v>
      </c>
      <c r="H39" s="41">
        <v>1</v>
      </c>
      <c r="I39" s="49" t="s">
        <v>195</v>
      </c>
      <c r="J39" s="39">
        <v>2</v>
      </c>
      <c r="K39" s="40">
        <f>VLOOKUP(E39,照明設備稼働時間!$A$4:$F$20,5,FALSE)</f>
        <v>4706</v>
      </c>
      <c r="L39" s="40" t="str">
        <f t="shared" si="0"/>
        <v>FL40S･W1埋込</v>
      </c>
      <c r="M39" s="40">
        <f>VLOOKUP(L39,照明器具種類!$B$4:$F$89,5,FALSE)</f>
        <v>47</v>
      </c>
      <c r="N39" s="44">
        <v>1</v>
      </c>
      <c r="O39" s="67">
        <f t="shared" si="1"/>
        <v>442.36399999999998</v>
      </c>
    </row>
    <row r="40" spans="1:15">
      <c r="A40" s="44" t="s">
        <v>379</v>
      </c>
      <c r="B40" s="42" t="s">
        <v>341</v>
      </c>
      <c r="C40" s="3"/>
      <c r="D40" s="46" t="s">
        <v>41</v>
      </c>
      <c r="E40" s="44" t="s">
        <v>526</v>
      </c>
      <c r="F40" s="47" t="s">
        <v>57</v>
      </c>
      <c r="G40" s="48" t="s">
        <v>85</v>
      </c>
      <c r="H40" s="41">
        <v>1</v>
      </c>
      <c r="I40" s="49" t="s">
        <v>232</v>
      </c>
      <c r="J40" s="39">
        <v>1</v>
      </c>
      <c r="K40" s="40">
        <f>VLOOKUP(E40,照明設備稼働時間!$A$4:$F$20,5,FALSE)</f>
        <v>4706</v>
      </c>
      <c r="L40" s="40" t="str">
        <f t="shared" si="0"/>
        <v>FL101表示灯</v>
      </c>
      <c r="M40" s="40">
        <f>VLOOKUP(L40,照明器具種類!$B$4:$F$89,5,FALSE)</f>
        <v>13</v>
      </c>
      <c r="N40" s="44">
        <v>1</v>
      </c>
      <c r="O40" s="67">
        <f t="shared" si="1"/>
        <v>61.177999999999997</v>
      </c>
    </row>
    <row r="41" spans="1:15">
      <c r="A41" s="44" t="s">
        <v>380</v>
      </c>
      <c r="B41" s="42" t="s">
        <v>341</v>
      </c>
      <c r="C41" s="3"/>
      <c r="D41" s="46" t="s">
        <v>41</v>
      </c>
      <c r="E41" s="44" t="s">
        <v>320</v>
      </c>
      <c r="F41" s="47" t="s">
        <v>58</v>
      </c>
      <c r="G41" s="48" t="s">
        <v>18</v>
      </c>
      <c r="H41" s="41">
        <v>1</v>
      </c>
      <c r="I41" s="49" t="s">
        <v>176</v>
      </c>
      <c r="J41" s="39">
        <v>1</v>
      </c>
      <c r="K41" s="40">
        <f>VLOOKUP(E41,照明設備稼働時間!$A$4:$F$20,5,FALSE)</f>
        <v>362</v>
      </c>
      <c r="L41" s="40" t="str">
        <f t="shared" si="0"/>
        <v>FL20S･W1逆富士</v>
      </c>
      <c r="M41" s="40">
        <f>VLOOKUP(L41,照明器具種類!$B$4:$F$89,5,FALSE)</f>
        <v>22.5</v>
      </c>
      <c r="N41" s="44">
        <v>1</v>
      </c>
      <c r="O41" s="67">
        <f t="shared" si="1"/>
        <v>8.1449999999999996</v>
      </c>
    </row>
    <row r="42" spans="1:15">
      <c r="A42" s="44" t="s">
        <v>381</v>
      </c>
      <c r="B42" s="42" t="s">
        <v>341</v>
      </c>
      <c r="C42" s="2" t="s">
        <v>61</v>
      </c>
      <c r="D42" s="46" t="s">
        <v>12</v>
      </c>
      <c r="E42" s="44" t="s">
        <v>528</v>
      </c>
      <c r="F42" s="47" t="s">
        <v>62</v>
      </c>
      <c r="G42" s="48" t="s">
        <v>86</v>
      </c>
      <c r="H42" s="41">
        <v>1</v>
      </c>
      <c r="I42" s="49" t="s">
        <v>198</v>
      </c>
      <c r="J42" s="39">
        <v>54</v>
      </c>
      <c r="K42" s="40">
        <f>VLOOKUP(E42,照明設備稼働時間!$A$4:$F$20,5,FALSE)</f>
        <v>4616</v>
      </c>
      <c r="L42" s="40" t="str">
        <f t="shared" si="0"/>
        <v>MF400･L-J/BH1投光器　重耐塩仕様</v>
      </c>
      <c r="M42" s="40">
        <f>VLOOKUP(L42,照明器具種類!$B$4:$F$89,5,FALSE)</f>
        <v>433</v>
      </c>
      <c r="N42" s="44">
        <v>0.8</v>
      </c>
      <c r="O42" s="67">
        <f t="shared" si="1"/>
        <v>86345.049600000013</v>
      </c>
    </row>
    <row r="43" spans="1:15">
      <c r="A43" s="44" t="s">
        <v>382</v>
      </c>
      <c r="B43" s="42" t="s">
        <v>341</v>
      </c>
      <c r="C43" s="2" t="s">
        <v>63</v>
      </c>
      <c r="D43" s="46" t="s">
        <v>12</v>
      </c>
      <c r="E43" s="44" t="s">
        <v>528</v>
      </c>
      <c r="F43" s="47" t="s">
        <v>62</v>
      </c>
      <c r="G43" s="48" t="s">
        <v>87</v>
      </c>
      <c r="H43" s="41">
        <v>1</v>
      </c>
      <c r="I43" s="49" t="s">
        <v>191</v>
      </c>
      <c r="J43" s="39">
        <v>4</v>
      </c>
      <c r="K43" s="40">
        <f>VLOOKUP(E43,照明設備稼働時間!$A$4:$F$20,5,FALSE)</f>
        <v>4616</v>
      </c>
      <c r="L43" s="40" t="str">
        <f t="shared" si="0"/>
        <v>JD100/110V250WP-EN1投光器　重耐塩仕様</v>
      </c>
      <c r="M43" s="40">
        <f>VLOOKUP(L43,照明器具種類!$B$4:$F$89,5,FALSE)</f>
        <v>250</v>
      </c>
      <c r="N43" s="44">
        <v>0.8</v>
      </c>
      <c r="O43" s="67">
        <f t="shared" si="1"/>
        <v>3692.8</v>
      </c>
    </row>
    <row r="44" spans="1:15">
      <c r="A44" s="44" t="s">
        <v>383</v>
      </c>
      <c r="B44" s="42" t="s">
        <v>341</v>
      </c>
      <c r="C44" s="2" t="s">
        <v>65</v>
      </c>
      <c r="D44" s="46" t="s">
        <v>12</v>
      </c>
      <c r="E44" s="44" t="s">
        <v>528</v>
      </c>
      <c r="F44" s="47" t="s">
        <v>62</v>
      </c>
      <c r="G44" s="48" t="s">
        <v>82</v>
      </c>
      <c r="H44" s="41">
        <v>1</v>
      </c>
      <c r="I44" s="49" t="s">
        <v>207</v>
      </c>
      <c r="J44" s="39">
        <v>3</v>
      </c>
      <c r="K44" s="40">
        <f>VLOOKUP(E44,照明設備稼働時間!$A$4:$F$20,5,FALSE)</f>
        <v>4616</v>
      </c>
      <c r="L44" s="40" t="str">
        <f t="shared" si="0"/>
        <v>FDL18EX-N1ダウンライト　WP</v>
      </c>
      <c r="M44" s="40">
        <f>VLOOKUP(L44,照明器具種類!$B$4:$F$89,5,FALSE)</f>
        <v>34</v>
      </c>
      <c r="N44" s="44">
        <v>1</v>
      </c>
      <c r="O44" s="67">
        <f t="shared" si="1"/>
        <v>470.83199999999999</v>
      </c>
    </row>
    <row r="45" spans="1:15">
      <c r="A45" s="44" t="s">
        <v>384</v>
      </c>
      <c r="B45" s="42" t="s">
        <v>341</v>
      </c>
      <c r="C45" s="2"/>
      <c r="D45" s="46" t="s">
        <v>330</v>
      </c>
      <c r="E45" s="44" t="s">
        <v>315</v>
      </c>
      <c r="F45" s="47" t="s">
        <v>224</v>
      </c>
      <c r="G45" s="48" t="s">
        <v>178</v>
      </c>
      <c r="H45" s="41">
        <v>1</v>
      </c>
      <c r="I45" s="49" t="s">
        <v>176</v>
      </c>
      <c r="J45" s="39">
        <v>5</v>
      </c>
      <c r="K45" s="40">
        <f>VLOOKUP(E45,照明設備稼働時間!$A$4:$F$20,5,FALSE)</f>
        <v>3772</v>
      </c>
      <c r="L45" s="40" t="str">
        <f t="shared" si="0"/>
        <v>FL20W1逆富士</v>
      </c>
      <c r="M45" s="40">
        <f>VLOOKUP(L45,照明器具種類!$B$4:$F$89,5,FALSE)</f>
        <v>22</v>
      </c>
      <c r="N45" s="44">
        <v>1</v>
      </c>
      <c r="O45" s="67">
        <f t="shared" si="1"/>
        <v>414.92</v>
      </c>
    </row>
    <row r="46" spans="1:15">
      <c r="A46" s="44" t="s">
        <v>385</v>
      </c>
      <c r="B46" s="42" t="s">
        <v>341</v>
      </c>
      <c r="C46" s="2"/>
      <c r="D46" s="46" t="s">
        <v>67</v>
      </c>
      <c r="E46" s="44" t="s">
        <v>315</v>
      </c>
      <c r="F46" s="47" t="s">
        <v>68</v>
      </c>
      <c r="G46" s="48" t="s">
        <v>18</v>
      </c>
      <c r="H46" s="41">
        <v>4</v>
      </c>
      <c r="I46" s="49" t="s">
        <v>222</v>
      </c>
      <c r="J46" s="39">
        <v>3</v>
      </c>
      <c r="K46" s="40">
        <f>VLOOKUP(E46,照明設備稼働時間!$A$4:$F$20,5,FALSE)</f>
        <v>3772</v>
      </c>
      <c r="L46" s="40" t="str">
        <f t="shared" si="0"/>
        <v>FL20S･W4埋込　スクエア□600</v>
      </c>
      <c r="M46" s="40">
        <f>VLOOKUP(L46,照明器具種類!$B$4:$F$89,5,FALSE)</f>
        <v>90</v>
      </c>
      <c r="N46" s="44">
        <v>1</v>
      </c>
      <c r="O46" s="67">
        <f t="shared" si="1"/>
        <v>1018.44</v>
      </c>
    </row>
    <row r="47" spans="1:15">
      <c r="A47" s="44" t="s">
        <v>386</v>
      </c>
      <c r="B47" s="42" t="s">
        <v>341</v>
      </c>
      <c r="C47" s="2" t="s">
        <v>69</v>
      </c>
      <c r="D47" s="46" t="s">
        <v>25</v>
      </c>
      <c r="E47" s="44" t="s">
        <v>314</v>
      </c>
      <c r="F47" s="47" t="s">
        <v>23</v>
      </c>
      <c r="G47" s="48" t="s">
        <v>16</v>
      </c>
      <c r="H47" s="41">
        <v>3</v>
      </c>
      <c r="I47" s="49" t="s">
        <v>223</v>
      </c>
      <c r="J47" s="39">
        <v>4</v>
      </c>
      <c r="K47" s="40">
        <f>VLOOKUP(E47,照明設備稼働時間!$A$4:$F$20,5,FALSE)</f>
        <v>4706</v>
      </c>
      <c r="L47" s="40" t="str">
        <f t="shared" si="0"/>
        <v>FL40S･W3埋込W300</v>
      </c>
      <c r="M47" s="40">
        <f>VLOOKUP(L47,照明器具種類!$B$4:$F$89,5,FALSE)</f>
        <v>141</v>
      </c>
      <c r="N47" s="44">
        <v>1</v>
      </c>
      <c r="O47" s="67">
        <f t="shared" si="1"/>
        <v>2654.1840000000002</v>
      </c>
    </row>
    <row r="48" spans="1:15">
      <c r="A48" s="44" t="s">
        <v>387</v>
      </c>
      <c r="B48" s="42" t="s">
        <v>341</v>
      </c>
      <c r="C48" s="2" t="s">
        <v>72</v>
      </c>
      <c r="D48" s="46" t="s">
        <v>25</v>
      </c>
      <c r="E48" s="44" t="s">
        <v>315</v>
      </c>
      <c r="F48" s="47" t="s">
        <v>71</v>
      </c>
      <c r="G48" s="50" t="s">
        <v>178</v>
      </c>
      <c r="H48" s="41">
        <v>2</v>
      </c>
      <c r="I48" s="49" t="s">
        <v>234</v>
      </c>
      <c r="J48" s="39">
        <v>4</v>
      </c>
      <c r="K48" s="40">
        <f>VLOOKUP(E48,照明設備稼働時間!$A$4:$F$20,5,FALSE)</f>
        <v>3772</v>
      </c>
      <c r="L48" s="40" t="str">
        <f t="shared" si="0"/>
        <v>FL20W2埋込W300　電池内蔵</v>
      </c>
      <c r="M48" s="40">
        <f>VLOOKUP(L48,照明器具種類!$B$4:$F$89,5,FALSE)</f>
        <v>44</v>
      </c>
      <c r="N48" s="44">
        <v>1</v>
      </c>
      <c r="O48" s="67">
        <f t="shared" si="1"/>
        <v>663.87199999999996</v>
      </c>
    </row>
    <row r="49" spans="1:15">
      <c r="A49" s="44" t="s">
        <v>388</v>
      </c>
      <c r="B49" s="42" t="s">
        <v>341</v>
      </c>
      <c r="C49" s="2"/>
      <c r="D49" s="46" t="s">
        <v>67</v>
      </c>
      <c r="E49" s="44" t="s">
        <v>315</v>
      </c>
      <c r="F49" s="47" t="s">
        <v>74</v>
      </c>
      <c r="G49" s="48" t="s">
        <v>16</v>
      </c>
      <c r="H49" s="41">
        <v>1</v>
      </c>
      <c r="I49" s="49" t="s">
        <v>176</v>
      </c>
      <c r="J49" s="39">
        <v>2</v>
      </c>
      <c r="K49" s="40">
        <f>VLOOKUP(E49,照明設備稼働時間!$A$4:$F$20,5,FALSE)</f>
        <v>3772</v>
      </c>
      <c r="L49" s="40" t="str">
        <f t="shared" si="0"/>
        <v>FL40S･W1逆富士</v>
      </c>
      <c r="M49" s="40">
        <f>VLOOKUP(L49,照明器具種類!$B$4:$F$89,5,FALSE)</f>
        <v>47</v>
      </c>
      <c r="N49" s="44">
        <v>1</v>
      </c>
      <c r="O49" s="67">
        <f t="shared" si="1"/>
        <v>354.56799999999998</v>
      </c>
    </row>
    <row r="50" spans="1:15">
      <c r="A50" s="44" t="s">
        <v>389</v>
      </c>
      <c r="B50" s="42" t="s">
        <v>341</v>
      </c>
      <c r="C50" s="2"/>
      <c r="D50" s="46" t="s">
        <v>67</v>
      </c>
      <c r="E50" s="44" t="s">
        <v>315</v>
      </c>
      <c r="F50" s="47" t="s">
        <v>74</v>
      </c>
      <c r="G50" s="48" t="s">
        <v>16</v>
      </c>
      <c r="H50" s="41">
        <v>1</v>
      </c>
      <c r="I50" s="50" t="s">
        <v>235</v>
      </c>
      <c r="J50" s="39">
        <v>8</v>
      </c>
      <c r="K50" s="40">
        <f>VLOOKUP(E50,照明設備稼働時間!$A$4:$F$20,5,FALSE)</f>
        <v>3772</v>
      </c>
      <c r="L50" s="40" t="str">
        <f t="shared" si="0"/>
        <v>FL40S･W1半埋込</v>
      </c>
      <c r="M50" s="40">
        <f>VLOOKUP(L50,照明器具種類!$B$4:$F$89,5,FALSE)</f>
        <v>47</v>
      </c>
      <c r="N50" s="44">
        <v>1</v>
      </c>
      <c r="O50" s="67">
        <f t="shared" si="1"/>
        <v>1418.2719999999999</v>
      </c>
    </row>
    <row r="51" spans="1:15">
      <c r="A51" s="44" t="s">
        <v>390</v>
      </c>
      <c r="B51" s="42" t="s">
        <v>341</v>
      </c>
      <c r="C51" s="2"/>
      <c r="D51" s="46" t="s">
        <v>67</v>
      </c>
      <c r="E51" s="44" t="s">
        <v>314</v>
      </c>
      <c r="F51" s="47" t="s">
        <v>48</v>
      </c>
      <c r="G51" s="48" t="s">
        <v>16</v>
      </c>
      <c r="H51" s="41">
        <v>2</v>
      </c>
      <c r="I51" s="49" t="s">
        <v>195</v>
      </c>
      <c r="J51" s="39">
        <v>4</v>
      </c>
      <c r="K51" s="40">
        <f>VLOOKUP(E51,照明設備稼働時間!$A$4:$F$20,5,FALSE)</f>
        <v>4706</v>
      </c>
      <c r="L51" s="40" t="str">
        <f t="shared" si="0"/>
        <v>FL40S･W2埋込</v>
      </c>
      <c r="M51" s="40">
        <f>VLOOKUP(L51,照明器具種類!$B$4:$F$89,5,FALSE)</f>
        <v>94</v>
      </c>
      <c r="N51" s="44">
        <v>1</v>
      </c>
      <c r="O51" s="67">
        <f t="shared" si="1"/>
        <v>1769.4559999999999</v>
      </c>
    </row>
    <row r="52" spans="1:15">
      <c r="A52" s="44" t="s">
        <v>391</v>
      </c>
      <c r="B52" s="42" t="s">
        <v>341</v>
      </c>
      <c r="C52" s="2"/>
      <c r="D52" s="46" t="s">
        <v>67</v>
      </c>
      <c r="E52" s="44" t="s">
        <v>315</v>
      </c>
      <c r="F52" s="47" t="s">
        <v>76</v>
      </c>
      <c r="G52" s="48" t="s">
        <v>16</v>
      </c>
      <c r="H52" s="41">
        <v>2</v>
      </c>
      <c r="I52" s="49" t="s">
        <v>236</v>
      </c>
      <c r="J52" s="39">
        <v>1</v>
      </c>
      <c r="K52" s="40">
        <f>VLOOKUP(E52,照明設備稼働時間!$A$4:$F$20,5,FALSE)</f>
        <v>3772</v>
      </c>
      <c r="L52" s="40" t="str">
        <f t="shared" si="0"/>
        <v>FL40S･W2笠付</v>
      </c>
      <c r="M52" s="40">
        <f>VLOOKUP(L52,照明器具種類!$B$4:$F$89,5,FALSE)</f>
        <v>94</v>
      </c>
      <c r="N52" s="44">
        <v>1</v>
      </c>
      <c r="O52" s="67">
        <f t="shared" si="1"/>
        <v>354.56799999999998</v>
      </c>
    </row>
    <row r="53" spans="1:15">
      <c r="A53" s="44" t="s">
        <v>392</v>
      </c>
      <c r="B53" s="42" t="s">
        <v>341</v>
      </c>
      <c r="C53" s="2"/>
      <c r="D53" s="46" t="s">
        <v>67</v>
      </c>
      <c r="E53" s="44" t="s">
        <v>315</v>
      </c>
      <c r="F53" s="47" t="s">
        <v>76</v>
      </c>
      <c r="G53" s="48" t="s">
        <v>18</v>
      </c>
      <c r="H53" s="41">
        <v>2</v>
      </c>
      <c r="I53" s="49" t="s">
        <v>176</v>
      </c>
      <c r="J53" s="39">
        <v>6</v>
      </c>
      <c r="K53" s="40">
        <f>VLOOKUP(E53,照明設備稼働時間!$A$4:$F$20,5,FALSE)</f>
        <v>3772</v>
      </c>
      <c r="L53" s="40" t="str">
        <f t="shared" si="0"/>
        <v>FL20S･W2逆富士</v>
      </c>
      <c r="M53" s="40">
        <f>VLOOKUP(L53,照明器具種類!$B$4:$F$89,5,FALSE)</f>
        <v>45</v>
      </c>
      <c r="N53" s="44">
        <v>1</v>
      </c>
      <c r="O53" s="67">
        <f t="shared" si="1"/>
        <v>1018.44</v>
      </c>
    </row>
    <row r="54" spans="1:15">
      <c r="A54" s="44" t="s">
        <v>393</v>
      </c>
      <c r="B54" s="42" t="s">
        <v>341</v>
      </c>
      <c r="C54" s="2"/>
      <c r="D54" s="46" t="s">
        <v>67</v>
      </c>
      <c r="E54" s="44" t="s">
        <v>315</v>
      </c>
      <c r="F54" s="47" t="s">
        <v>76</v>
      </c>
      <c r="G54" s="48" t="s">
        <v>88</v>
      </c>
      <c r="H54" s="41">
        <v>1</v>
      </c>
      <c r="I54" s="49" t="s">
        <v>229</v>
      </c>
      <c r="J54" s="39">
        <v>1</v>
      </c>
      <c r="K54" s="40">
        <f>VLOOKUP(E54,照明設備稼働時間!$A$4:$F$20,5,FALSE)</f>
        <v>3772</v>
      </c>
      <c r="L54" s="40" t="str">
        <f t="shared" si="0"/>
        <v>FL10W1流し元灯</v>
      </c>
      <c r="M54" s="40">
        <f>VLOOKUP(L54,照明器具種類!$B$4:$F$89,5,FALSE)</f>
        <v>13</v>
      </c>
      <c r="N54" s="44">
        <v>1</v>
      </c>
      <c r="O54" s="67">
        <f t="shared" si="1"/>
        <v>49.036000000000001</v>
      </c>
    </row>
    <row r="55" spans="1:15">
      <c r="A55" s="44" t="s">
        <v>394</v>
      </c>
      <c r="B55" s="42" t="s">
        <v>341</v>
      </c>
      <c r="C55" s="2"/>
      <c r="D55" s="46" t="s">
        <v>67</v>
      </c>
      <c r="E55" s="44" t="s">
        <v>314</v>
      </c>
      <c r="F55" s="47" t="s">
        <v>77</v>
      </c>
      <c r="G55" s="48" t="s">
        <v>18</v>
      </c>
      <c r="H55" s="41">
        <v>6</v>
      </c>
      <c r="I55" s="49" t="s">
        <v>237</v>
      </c>
      <c r="J55" s="39">
        <v>1</v>
      </c>
      <c r="K55" s="40">
        <f>VLOOKUP(E55,照明設備稼働時間!$A$4:$F$20,5,FALSE)</f>
        <v>4706</v>
      </c>
      <c r="L55" s="40" t="str">
        <f t="shared" si="0"/>
        <v>FL20S･W6埋込　スクエア□900</v>
      </c>
      <c r="M55" s="40">
        <f>VLOOKUP(L55,照明器具種類!$B$4:$F$89,5,FALSE)</f>
        <v>135</v>
      </c>
      <c r="N55" s="44">
        <v>1</v>
      </c>
      <c r="O55" s="67">
        <f t="shared" si="1"/>
        <v>635.30999999999995</v>
      </c>
    </row>
    <row r="56" spans="1:15">
      <c r="A56" s="44" t="s">
        <v>395</v>
      </c>
      <c r="B56" s="42" t="s">
        <v>341</v>
      </c>
      <c r="C56" s="2"/>
      <c r="D56" s="46" t="s">
        <v>67</v>
      </c>
      <c r="E56" s="44" t="s">
        <v>320</v>
      </c>
      <c r="F56" s="47" t="s">
        <v>78</v>
      </c>
      <c r="G56" s="48" t="s">
        <v>16</v>
      </c>
      <c r="H56" s="41">
        <v>1</v>
      </c>
      <c r="I56" s="49" t="s">
        <v>238</v>
      </c>
      <c r="J56" s="39">
        <v>1</v>
      </c>
      <c r="K56" s="40">
        <f>VLOOKUP(E56,照明設備稼働時間!$A$4:$F$20,5,FALSE)</f>
        <v>362</v>
      </c>
      <c r="L56" s="40" t="str">
        <f t="shared" si="0"/>
        <v>FL40S･W1半埋込</v>
      </c>
      <c r="M56" s="40">
        <f>VLOOKUP(L56,照明器具種類!$B$4:$F$89,5,FALSE)</f>
        <v>47</v>
      </c>
      <c r="N56" s="44">
        <v>1</v>
      </c>
      <c r="O56" s="67">
        <f t="shared" si="1"/>
        <v>17.013999999999999</v>
      </c>
    </row>
    <row r="57" spans="1:15">
      <c r="A57" s="44" t="s">
        <v>396</v>
      </c>
      <c r="B57" s="42" t="s">
        <v>341</v>
      </c>
      <c r="C57" s="2"/>
      <c r="D57" s="46" t="s">
        <v>67</v>
      </c>
      <c r="E57" s="44" t="s">
        <v>317</v>
      </c>
      <c r="F57" s="47" t="s">
        <v>200</v>
      </c>
      <c r="G57" s="48" t="s">
        <v>18</v>
      </c>
      <c r="H57" s="41">
        <v>1</v>
      </c>
      <c r="I57" s="49" t="s">
        <v>176</v>
      </c>
      <c r="J57" s="39">
        <v>1</v>
      </c>
      <c r="K57" s="40">
        <f>VLOOKUP(E57,照明設備稼働時間!$A$4:$F$20,5,FALSE)</f>
        <v>724</v>
      </c>
      <c r="L57" s="40" t="str">
        <f t="shared" si="0"/>
        <v>FL20S･W1逆富士</v>
      </c>
      <c r="M57" s="40">
        <f>VLOOKUP(L57,照明器具種類!$B$4:$F$89,5,FALSE)</f>
        <v>22.5</v>
      </c>
      <c r="N57" s="44">
        <v>1</v>
      </c>
      <c r="O57" s="67">
        <f t="shared" si="1"/>
        <v>16.29</v>
      </c>
    </row>
    <row r="58" spans="1:15">
      <c r="A58" s="44" t="s">
        <v>397</v>
      </c>
      <c r="B58" s="42" t="s">
        <v>341</v>
      </c>
      <c r="C58" s="2"/>
      <c r="D58" s="46" t="s">
        <v>67</v>
      </c>
      <c r="E58" s="44" t="s">
        <v>316</v>
      </c>
      <c r="F58" s="47" t="s">
        <v>79</v>
      </c>
      <c r="G58" s="48" t="s">
        <v>18</v>
      </c>
      <c r="H58" s="41">
        <v>1</v>
      </c>
      <c r="I58" s="49" t="s">
        <v>195</v>
      </c>
      <c r="J58" s="39">
        <v>1</v>
      </c>
      <c r="K58" s="40">
        <f>VLOOKUP(E58,照明設備稼働時間!$A$4:$F$20,5,FALSE)</f>
        <v>1968</v>
      </c>
      <c r="L58" s="40" t="str">
        <f t="shared" si="0"/>
        <v>FL20S･W1埋込</v>
      </c>
      <c r="M58" s="40">
        <f>VLOOKUP(L58,照明器具種類!$B$4:$F$89,5,FALSE)</f>
        <v>22.5</v>
      </c>
      <c r="N58" s="44">
        <v>1</v>
      </c>
      <c r="O58" s="67">
        <f t="shared" si="1"/>
        <v>44.28</v>
      </c>
    </row>
    <row r="59" spans="1:15">
      <c r="A59" s="44" t="s">
        <v>398</v>
      </c>
      <c r="B59" s="42" t="s">
        <v>341</v>
      </c>
      <c r="C59" s="2"/>
      <c r="D59" s="46" t="s">
        <v>67</v>
      </c>
      <c r="E59" s="44" t="s">
        <v>316</v>
      </c>
      <c r="F59" s="47" t="s">
        <v>80</v>
      </c>
      <c r="G59" s="48" t="s">
        <v>16</v>
      </c>
      <c r="H59" s="41">
        <v>1</v>
      </c>
      <c r="I59" s="49" t="s">
        <v>194</v>
      </c>
      <c r="J59" s="39">
        <v>1</v>
      </c>
      <c r="K59" s="40">
        <f>VLOOKUP(E59,照明設備稼働時間!$A$4:$F$20,5,FALSE)</f>
        <v>1968</v>
      </c>
      <c r="L59" s="40" t="str">
        <f t="shared" si="0"/>
        <v>FL40S･W1埋込</v>
      </c>
      <c r="M59" s="40">
        <f>VLOOKUP(L59,照明器具種類!$B$4:$F$89,5,FALSE)</f>
        <v>47</v>
      </c>
      <c r="N59" s="44">
        <v>1</v>
      </c>
      <c r="O59" s="67">
        <f t="shared" si="1"/>
        <v>92.495999999999995</v>
      </c>
    </row>
    <row r="60" spans="1:15">
      <c r="A60" s="44" t="s">
        <v>399</v>
      </c>
      <c r="B60" s="42" t="s">
        <v>341</v>
      </c>
      <c r="C60" s="2"/>
      <c r="D60" s="46" t="s">
        <v>67</v>
      </c>
      <c r="E60" s="44" t="s">
        <v>316</v>
      </c>
      <c r="F60" s="47" t="s">
        <v>80</v>
      </c>
      <c r="G60" s="48" t="s">
        <v>88</v>
      </c>
      <c r="H60" s="41">
        <v>1</v>
      </c>
      <c r="I60" s="49" t="s">
        <v>229</v>
      </c>
      <c r="J60" s="39">
        <v>1</v>
      </c>
      <c r="K60" s="40">
        <f>VLOOKUP(E60,照明設備稼働時間!$A$4:$F$20,5,FALSE)</f>
        <v>1968</v>
      </c>
      <c r="L60" s="40" t="str">
        <f t="shared" si="0"/>
        <v>FL10W1流し元灯</v>
      </c>
      <c r="M60" s="40">
        <f>VLOOKUP(L60,照明器具種類!$B$4:$F$89,5,FALSE)</f>
        <v>13</v>
      </c>
      <c r="N60" s="44">
        <v>1</v>
      </c>
      <c r="O60" s="67">
        <f t="shared" si="1"/>
        <v>25.584</v>
      </c>
    </row>
    <row r="61" spans="1:15">
      <c r="A61" s="44" t="s">
        <v>400</v>
      </c>
      <c r="B61" s="42" t="s">
        <v>341</v>
      </c>
      <c r="C61" s="2"/>
      <c r="D61" s="46" t="s">
        <v>67</v>
      </c>
      <c r="E61" s="44" t="s">
        <v>318</v>
      </c>
      <c r="F61" s="47" t="s">
        <v>81</v>
      </c>
      <c r="G61" s="48" t="s">
        <v>16</v>
      </c>
      <c r="H61" s="41">
        <v>2</v>
      </c>
      <c r="I61" s="49" t="s">
        <v>176</v>
      </c>
      <c r="J61" s="39">
        <v>1</v>
      </c>
      <c r="K61" s="40">
        <f>VLOOKUP(E61,照明設備稼働時間!$A$4:$F$20,5,FALSE)</f>
        <v>362</v>
      </c>
      <c r="L61" s="40" t="str">
        <f t="shared" si="0"/>
        <v>FL40S･W2逆富士</v>
      </c>
      <c r="M61" s="40">
        <f>VLOOKUP(L61,照明器具種類!$B$4:$F$89,5,FALSE)</f>
        <v>94</v>
      </c>
      <c r="N61" s="44">
        <v>1</v>
      </c>
      <c r="O61" s="67">
        <f t="shared" si="1"/>
        <v>34.027999999999999</v>
      </c>
    </row>
    <row r="62" spans="1:15">
      <c r="A62" s="44" t="s">
        <v>401</v>
      </c>
      <c r="B62" s="42" t="s">
        <v>341</v>
      </c>
      <c r="C62" s="2"/>
      <c r="D62" s="46" t="s">
        <v>67</v>
      </c>
      <c r="E62" s="44" t="s">
        <v>320</v>
      </c>
      <c r="F62" s="47" t="s">
        <v>10</v>
      </c>
      <c r="G62" s="48" t="s">
        <v>16</v>
      </c>
      <c r="H62" s="41">
        <v>1</v>
      </c>
      <c r="I62" s="49" t="s">
        <v>176</v>
      </c>
      <c r="J62" s="39">
        <v>2</v>
      </c>
      <c r="K62" s="40">
        <f>VLOOKUP(E62,照明設備稼働時間!$A$4:$F$20,5,FALSE)</f>
        <v>362</v>
      </c>
      <c r="L62" s="40" t="str">
        <f t="shared" si="0"/>
        <v>FL40S･W1逆富士</v>
      </c>
      <c r="M62" s="40">
        <f>VLOOKUP(L62,照明器具種類!$B$4:$F$89,5,FALSE)</f>
        <v>47</v>
      </c>
      <c r="N62" s="44">
        <v>1</v>
      </c>
      <c r="O62" s="67">
        <f t="shared" si="1"/>
        <v>34.027999999999999</v>
      </c>
    </row>
    <row r="63" spans="1:15">
      <c r="A63" s="44" t="s">
        <v>402</v>
      </c>
      <c r="B63" s="42" t="s">
        <v>341</v>
      </c>
      <c r="C63" s="2" t="s">
        <v>36</v>
      </c>
      <c r="D63" s="46" t="s">
        <v>12</v>
      </c>
      <c r="E63" s="44" t="s">
        <v>9</v>
      </c>
      <c r="F63" s="47" t="s">
        <v>37</v>
      </c>
      <c r="G63" s="48" t="s">
        <v>16</v>
      </c>
      <c r="H63" s="41">
        <v>2</v>
      </c>
      <c r="I63" s="49" t="s">
        <v>215</v>
      </c>
      <c r="J63" s="39">
        <v>1</v>
      </c>
      <c r="K63" s="40">
        <f>VLOOKUP(E63,照明設備稼働時間!$A$4:$F$20,5,FALSE)</f>
        <v>8760</v>
      </c>
      <c r="L63" s="40" t="str">
        <f t="shared" si="0"/>
        <v>FL40S･W2避難口誘導灯B級BH型（直管型）</v>
      </c>
      <c r="M63" s="40">
        <f>VLOOKUP(L63,照明器具種類!$B$4:$F$89,5,FALSE)</f>
        <v>50</v>
      </c>
      <c r="N63" s="44">
        <v>1</v>
      </c>
      <c r="O63" s="67">
        <f t="shared" si="1"/>
        <v>438</v>
      </c>
    </row>
    <row r="64" spans="1:15">
      <c r="A64" s="44" t="s">
        <v>403</v>
      </c>
      <c r="B64" s="42" t="s">
        <v>341</v>
      </c>
      <c r="C64" s="2" t="s">
        <v>40</v>
      </c>
      <c r="D64" s="46" t="s">
        <v>12</v>
      </c>
      <c r="E64" s="44" t="s">
        <v>9</v>
      </c>
      <c r="F64" s="47" t="s">
        <v>21</v>
      </c>
      <c r="G64" s="48" t="s">
        <v>18</v>
      </c>
      <c r="H64" s="41">
        <v>1</v>
      </c>
      <c r="I64" s="49" t="s">
        <v>217</v>
      </c>
      <c r="J64" s="39">
        <v>1</v>
      </c>
      <c r="K64" s="40">
        <f>VLOOKUP(E64,照明設備稼働時間!$A$4:$F$20,5,FALSE)</f>
        <v>8760</v>
      </c>
      <c r="L64" s="40" t="str">
        <f t="shared" si="0"/>
        <v>FL20S･W1通路誘導灯B級（直管型）</v>
      </c>
      <c r="M64" s="40">
        <f>VLOOKUP(L64,照明器具種類!$B$4:$F$89,5,FALSE)</f>
        <v>26</v>
      </c>
      <c r="N64" s="44">
        <v>1</v>
      </c>
      <c r="O64" s="67">
        <f t="shared" si="1"/>
        <v>227.76</v>
      </c>
    </row>
    <row r="65" spans="1:15">
      <c r="A65" s="44" t="s">
        <v>404</v>
      </c>
      <c r="B65" s="42" t="s">
        <v>341</v>
      </c>
      <c r="C65" s="2" t="s">
        <v>46</v>
      </c>
      <c r="D65" s="46" t="s">
        <v>12</v>
      </c>
      <c r="E65" s="44" t="s">
        <v>9</v>
      </c>
      <c r="F65" s="47" t="s">
        <v>45</v>
      </c>
      <c r="G65" s="48" t="s">
        <v>18</v>
      </c>
      <c r="H65" s="41">
        <v>1</v>
      </c>
      <c r="I65" s="49" t="s">
        <v>210</v>
      </c>
      <c r="J65" s="39">
        <v>1</v>
      </c>
      <c r="K65" s="40">
        <f>VLOOKUP(E65,照明設備稼働時間!$A$4:$F$20,5,FALSE)</f>
        <v>8760</v>
      </c>
      <c r="L65" s="40" t="str">
        <f t="shared" si="0"/>
        <v>FL20S･W1通路誘導灯B級BL型（直管型）</v>
      </c>
      <c r="M65" s="40">
        <f>VLOOKUP(L65,照明器具種類!$B$4:$F$89,5,FALSE)</f>
        <v>26</v>
      </c>
      <c r="N65" s="44">
        <v>1</v>
      </c>
      <c r="O65" s="67">
        <f t="shared" si="1"/>
        <v>227.76</v>
      </c>
    </row>
    <row r="66" spans="1:15">
      <c r="A66" s="44" t="s">
        <v>405</v>
      </c>
      <c r="B66" s="42" t="s">
        <v>341</v>
      </c>
      <c r="C66" s="2" t="s">
        <v>50</v>
      </c>
      <c r="D66" s="46" t="s">
        <v>12</v>
      </c>
      <c r="E66" s="44" t="s">
        <v>9</v>
      </c>
      <c r="F66" s="47" t="s">
        <v>51</v>
      </c>
      <c r="G66" s="48" t="s">
        <v>16</v>
      </c>
      <c r="H66" s="41">
        <v>1</v>
      </c>
      <c r="I66" s="49" t="s">
        <v>215</v>
      </c>
      <c r="J66" s="39">
        <v>1</v>
      </c>
      <c r="K66" s="40">
        <f>VLOOKUP(E66,照明設備稼働時間!$A$4:$F$20,5,FALSE)</f>
        <v>8760</v>
      </c>
      <c r="L66" s="40" t="str">
        <f t="shared" si="0"/>
        <v>FL40S･W1避難口誘導灯B級BH型（直管型）</v>
      </c>
      <c r="M66" s="40">
        <f>VLOOKUP(L66,照明器具種類!$B$4:$F$89,5,FALSE)</f>
        <v>50</v>
      </c>
      <c r="N66" s="44">
        <v>1</v>
      </c>
      <c r="O66" s="67">
        <f t="shared" si="1"/>
        <v>438</v>
      </c>
    </row>
    <row r="67" spans="1:15">
      <c r="A67" s="44" t="s">
        <v>406</v>
      </c>
      <c r="B67" s="42" t="s">
        <v>341</v>
      </c>
      <c r="C67" s="2" t="s">
        <v>53</v>
      </c>
      <c r="D67" s="46" t="s">
        <v>12</v>
      </c>
      <c r="E67" s="44" t="s">
        <v>9</v>
      </c>
      <c r="F67" s="47" t="s">
        <v>51</v>
      </c>
      <c r="G67" s="48" t="s">
        <v>18</v>
      </c>
      <c r="H67" s="41">
        <v>1</v>
      </c>
      <c r="I67" s="49" t="s">
        <v>210</v>
      </c>
      <c r="J67" s="39">
        <v>1</v>
      </c>
      <c r="K67" s="40">
        <f>VLOOKUP(E67,照明設備稼働時間!$A$4:$F$20,5,FALSE)</f>
        <v>8760</v>
      </c>
      <c r="L67" s="40" t="str">
        <f t="shared" si="0"/>
        <v>FL20S･W1通路誘導灯B級BL型（直管型）</v>
      </c>
      <c r="M67" s="40">
        <f>VLOOKUP(L67,照明器具種類!$B$4:$F$89,5,FALSE)</f>
        <v>26</v>
      </c>
      <c r="N67" s="44">
        <v>1</v>
      </c>
      <c r="O67" s="67">
        <f t="shared" si="1"/>
        <v>227.76</v>
      </c>
    </row>
    <row r="68" spans="1:15">
      <c r="A68" s="44" t="s">
        <v>407</v>
      </c>
      <c r="B68" s="42" t="s">
        <v>341</v>
      </c>
      <c r="C68" s="2" t="s">
        <v>216</v>
      </c>
      <c r="D68" s="46" t="s">
        <v>12</v>
      </c>
      <c r="E68" s="44" t="s">
        <v>9</v>
      </c>
      <c r="F68" s="47" t="s">
        <v>51</v>
      </c>
      <c r="G68" s="48" t="s">
        <v>18</v>
      </c>
      <c r="H68" s="41">
        <v>1</v>
      </c>
      <c r="I68" s="49" t="s">
        <v>210</v>
      </c>
      <c r="J68" s="39">
        <v>1</v>
      </c>
      <c r="K68" s="40">
        <f>VLOOKUP(E68,照明設備稼働時間!$A$4:$F$20,5,FALSE)</f>
        <v>8760</v>
      </c>
      <c r="L68" s="40" t="str">
        <f t="shared" si="0"/>
        <v>FL20S･W1通路誘導灯B級BL型（直管型）</v>
      </c>
      <c r="M68" s="40">
        <f>VLOOKUP(L68,照明器具種類!$B$4:$F$89,5,FALSE)</f>
        <v>26</v>
      </c>
      <c r="N68" s="44">
        <v>1</v>
      </c>
      <c r="O68" s="67">
        <f t="shared" si="1"/>
        <v>227.76</v>
      </c>
    </row>
    <row r="69" spans="1:15">
      <c r="A69" s="44" t="s">
        <v>408</v>
      </c>
      <c r="B69" s="42" t="s">
        <v>341</v>
      </c>
      <c r="C69" s="2" t="s">
        <v>46</v>
      </c>
      <c r="D69" s="46" t="s">
        <v>12</v>
      </c>
      <c r="E69" s="44" t="s">
        <v>9</v>
      </c>
      <c r="F69" s="47" t="s">
        <v>54</v>
      </c>
      <c r="G69" s="48" t="s">
        <v>18</v>
      </c>
      <c r="H69" s="41">
        <v>1</v>
      </c>
      <c r="I69" s="49" t="s">
        <v>210</v>
      </c>
      <c r="J69" s="39">
        <v>1</v>
      </c>
      <c r="K69" s="40">
        <f>VLOOKUP(E69,照明設備稼働時間!$A$4:$F$20,5,FALSE)</f>
        <v>8760</v>
      </c>
      <c r="L69" s="40" t="str">
        <f t="shared" ref="L69:L132" si="2">G69&amp;H69&amp;I69</f>
        <v>FL20S･W1通路誘導灯B級BL型（直管型）</v>
      </c>
      <c r="M69" s="40">
        <f>VLOOKUP(L69,照明器具種類!$B$4:$F$89,5,FALSE)</f>
        <v>26</v>
      </c>
      <c r="N69" s="44">
        <v>1</v>
      </c>
      <c r="O69" s="67">
        <f t="shared" ref="O69:O132" si="3">(J69*K69*M69*N69)/1000</f>
        <v>227.76</v>
      </c>
    </row>
    <row r="70" spans="1:15">
      <c r="A70" s="44" t="s">
        <v>409</v>
      </c>
      <c r="B70" s="42" t="s">
        <v>341</v>
      </c>
      <c r="C70" s="2" t="s">
        <v>59</v>
      </c>
      <c r="D70" s="46" t="s">
        <v>12</v>
      </c>
      <c r="E70" s="44" t="s">
        <v>9</v>
      </c>
      <c r="F70" s="47" t="s">
        <v>204</v>
      </c>
      <c r="G70" s="48" t="s">
        <v>18</v>
      </c>
      <c r="H70" s="41">
        <v>1</v>
      </c>
      <c r="I70" s="49" t="s">
        <v>209</v>
      </c>
      <c r="J70" s="39">
        <v>5</v>
      </c>
      <c r="K70" s="40">
        <f>VLOOKUP(E70,照明設備稼働時間!$A$4:$F$20,5,FALSE)</f>
        <v>8760</v>
      </c>
      <c r="L70" s="40" t="str">
        <f t="shared" si="2"/>
        <v>FL20S･W1避難口誘導灯B級BL型（直管型）</v>
      </c>
      <c r="M70" s="40">
        <f>VLOOKUP(L70,照明器具種類!$B$4:$F$89,5,FALSE)</f>
        <v>26</v>
      </c>
      <c r="N70" s="44">
        <v>1</v>
      </c>
      <c r="O70" s="67">
        <f t="shared" si="3"/>
        <v>1138.8</v>
      </c>
    </row>
    <row r="71" spans="1:15">
      <c r="A71" s="44" t="s">
        <v>410</v>
      </c>
      <c r="B71" s="42" t="s">
        <v>341</v>
      </c>
      <c r="C71" s="3"/>
      <c r="D71" s="46" t="s">
        <v>12</v>
      </c>
      <c r="E71" s="44" t="s">
        <v>9</v>
      </c>
      <c r="F71" s="47" t="s">
        <v>60</v>
      </c>
      <c r="G71" s="48" t="s">
        <v>18</v>
      </c>
      <c r="H71" s="41">
        <v>1</v>
      </c>
      <c r="I71" s="49" t="s">
        <v>17</v>
      </c>
      <c r="J71" s="39">
        <v>2</v>
      </c>
      <c r="K71" s="40">
        <f>VLOOKUP(E71,照明設備稼働時間!$A$4:$F$20,5,FALSE)</f>
        <v>8760</v>
      </c>
      <c r="L71" s="40" t="str">
        <f t="shared" si="2"/>
        <v>FL20S･W1誘導灯B級BL型（直管型）</v>
      </c>
      <c r="M71" s="40">
        <f>VLOOKUP(L71,照明器具種類!$B$4:$F$89,5,FALSE)</f>
        <v>26</v>
      </c>
      <c r="N71" s="44">
        <v>1</v>
      </c>
      <c r="O71" s="67">
        <f t="shared" si="3"/>
        <v>455.52</v>
      </c>
    </row>
    <row r="72" spans="1:15">
      <c r="A72" s="44" t="s">
        <v>411</v>
      </c>
      <c r="B72" s="42" t="s">
        <v>341</v>
      </c>
      <c r="C72" s="2" t="s">
        <v>66</v>
      </c>
      <c r="D72" s="46" t="s">
        <v>25</v>
      </c>
      <c r="E72" s="44" t="s">
        <v>9</v>
      </c>
      <c r="F72" s="47" t="s">
        <v>26</v>
      </c>
      <c r="G72" s="48" t="s">
        <v>16</v>
      </c>
      <c r="H72" s="41">
        <v>1</v>
      </c>
      <c r="I72" s="49" t="s">
        <v>215</v>
      </c>
      <c r="J72" s="39">
        <v>1</v>
      </c>
      <c r="K72" s="40">
        <f>VLOOKUP(E72,照明設備稼働時間!$A$4:$F$20,5,FALSE)</f>
        <v>8760</v>
      </c>
      <c r="L72" s="40" t="str">
        <f t="shared" si="2"/>
        <v>FL40S･W1避難口誘導灯B級BH型（直管型）</v>
      </c>
      <c r="M72" s="40">
        <f>VLOOKUP(L72,照明器具種類!$B$4:$F$89,5,FALSE)</f>
        <v>50</v>
      </c>
      <c r="N72" s="44">
        <v>1</v>
      </c>
      <c r="O72" s="67">
        <f t="shared" si="3"/>
        <v>438</v>
      </c>
    </row>
    <row r="73" spans="1:15">
      <c r="A73" s="44" t="s">
        <v>412</v>
      </c>
      <c r="B73" s="42" t="s">
        <v>341</v>
      </c>
      <c r="C73" s="2" t="s">
        <v>70</v>
      </c>
      <c r="D73" s="46" t="s">
        <v>25</v>
      </c>
      <c r="E73" s="44" t="s">
        <v>9</v>
      </c>
      <c r="F73" s="47" t="s">
        <v>71</v>
      </c>
      <c r="G73" s="48" t="s">
        <v>16</v>
      </c>
      <c r="H73" s="41">
        <v>1</v>
      </c>
      <c r="I73" s="49" t="s">
        <v>215</v>
      </c>
      <c r="J73" s="39">
        <v>1</v>
      </c>
      <c r="K73" s="40">
        <f>VLOOKUP(E73,照明設備稼働時間!$A$4:$F$20,5,FALSE)</f>
        <v>8760</v>
      </c>
      <c r="L73" s="40" t="str">
        <f t="shared" si="2"/>
        <v>FL40S･W1避難口誘導灯B級BH型（直管型）</v>
      </c>
      <c r="M73" s="40">
        <f>VLOOKUP(L73,照明器具種類!$B$4:$F$89,5,FALSE)</f>
        <v>50</v>
      </c>
      <c r="N73" s="44">
        <v>1</v>
      </c>
      <c r="O73" s="67">
        <f t="shared" si="3"/>
        <v>438</v>
      </c>
    </row>
    <row r="74" spans="1:15">
      <c r="A74" s="44" t="s">
        <v>413</v>
      </c>
      <c r="B74" s="42" t="s">
        <v>341</v>
      </c>
      <c r="C74" s="2" t="s">
        <v>39</v>
      </c>
      <c r="D74" s="46" t="s">
        <v>12</v>
      </c>
      <c r="E74" s="44" t="s">
        <v>323</v>
      </c>
      <c r="F74" s="47" t="s">
        <v>241</v>
      </c>
      <c r="G74" s="48" t="s">
        <v>84</v>
      </c>
      <c r="H74" s="41">
        <v>1</v>
      </c>
      <c r="I74" s="49" t="s">
        <v>239</v>
      </c>
      <c r="J74" s="39">
        <v>4</v>
      </c>
      <c r="K74" s="40">
        <f>VLOOKUP(E74,照明設備稼働時間!$A$4:$F$20,5,FALSE)</f>
        <v>0</v>
      </c>
      <c r="L74" s="40" t="str">
        <f t="shared" si="2"/>
        <v>6V10W1非常灯　電池内蔵</v>
      </c>
      <c r="M74" s="40">
        <f>VLOOKUP(L74,照明器具種類!$B$4:$F$89,5,FALSE)</f>
        <v>2</v>
      </c>
      <c r="N74" s="44">
        <v>1</v>
      </c>
      <c r="O74" s="67">
        <f t="shared" si="3"/>
        <v>0</v>
      </c>
    </row>
    <row r="75" spans="1:15">
      <c r="A75" s="44" t="s">
        <v>414</v>
      </c>
      <c r="B75" s="42" t="s">
        <v>341</v>
      </c>
      <c r="C75" s="3" t="s">
        <v>242</v>
      </c>
      <c r="D75" s="46" t="s">
        <v>41</v>
      </c>
      <c r="E75" s="44" t="s">
        <v>323</v>
      </c>
      <c r="F75" s="47" t="s">
        <v>47</v>
      </c>
      <c r="G75" s="48" t="s">
        <v>84</v>
      </c>
      <c r="H75" s="41">
        <v>1</v>
      </c>
      <c r="I75" s="49" t="s">
        <v>240</v>
      </c>
      <c r="J75" s="39">
        <v>1</v>
      </c>
      <c r="K75" s="40">
        <f>VLOOKUP(E75,照明設備稼働時間!$A$4:$F$20,5,FALSE)</f>
        <v>0</v>
      </c>
      <c r="L75" s="40" t="str">
        <f t="shared" si="2"/>
        <v>6V10W1非常灯　電池内蔵　WP</v>
      </c>
      <c r="M75" s="40">
        <f>VLOOKUP(L75,照明器具種類!$B$4:$F$89,5,FALSE)</f>
        <v>10</v>
      </c>
      <c r="N75" s="44">
        <v>1</v>
      </c>
      <c r="O75" s="67">
        <f t="shared" si="3"/>
        <v>0</v>
      </c>
    </row>
    <row r="76" spans="1:15">
      <c r="A76" s="44" t="s">
        <v>415</v>
      </c>
      <c r="B76" s="42" t="s">
        <v>341</v>
      </c>
      <c r="C76" s="3" t="s">
        <v>242</v>
      </c>
      <c r="D76" s="46" t="s">
        <v>41</v>
      </c>
      <c r="E76" s="44" t="s">
        <v>323</v>
      </c>
      <c r="F76" s="47" t="s">
        <v>56</v>
      </c>
      <c r="G76" s="48" t="s">
        <v>84</v>
      </c>
      <c r="H76" s="41">
        <v>1</v>
      </c>
      <c r="I76" s="49" t="s">
        <v>240</v>
      </c>
      <c r="J76" s="39">
        <v>1</v>
      </c>
      <c r="K76" s="40">
        <f>VLOOKUP(E76,照明設備稼働時間!$A$4:$F$20,5,FALSE)</f>
        <v>0</v>
      </c>
      <c r="L76" s="40" t="str">
        <f t="shared" si="2"/>
        <v>6V10W1非常灯　電池内蔵　WP</v>
      </c>
      <c r="M76" s="40">
        <f>VLOOKUP(L76,照明器具種類!$B$4:$F$89,5,FALSE)</f>
        <v>10</v>
      </c>
      <c r="N76" s="44">
        <v>1</v>
      </c>
      <c r="O76" s="67">
        <f t="shared" si="3"/>
        <v>0</v>
      </c>
    </row>
    <row r="77" spans="1:15">
      <c r="A77" s="44" t="s">
        <v>416</v>
      </c>
      <c r="B77" s="42" t="s">
        <v>341</v>
      </c>
      <c r="C77" s="2" t="s">
        <v>64</v>
      </c>
      <c r="D77" s="46" t="s">
        <v>12</v>
      </c>
      <c r="E77" s="44" t="s">
        <v>323</v>
      </c>
      <c r="F77" s="47" t="s">
        <v>62</v>
      </c>
      <c r="G77" s="48" t="s">
        <v>87</v>
      </c>
      <c r="H77" s="41">
        <v>1</v>
      </c>
      <c r="I77" s="49" t="s">
        <v>199</v>
      </c>
      <c r="J77" s="39">
        <v>10</v>
      </c>
      <c r="K77" s="40">
        <f>VLOOKUP(E77,照明設備稼働時間!$A$4:$F$20,5,FALSE)</f>
        <v>0</v>
      </c>
      <c r="L77" s="40" t="str">
        <f t="shared" si="2"/>
        <v>JD100/110V250WP-EN1投光器　非常灯？　重耐塩仕様</v>
      </c>
      <c r="M77" s="40">
        <f>VLOOKUP(L77,照明器具種類!$B$4:$F$89,5,FALSE)</f>
        <v>250</v>
      </c>
      <c r="N77" s="44">
        <v>1</v>
      </c>
      <c r="O77" s="67">
        <f t="shared" si="3"/>
        <v>0</v>
      </c>
    </row>
    <row r="78" spans="1:15">
      <c r="A78" s="44" t="s">
        <v>417</v>
      </c>
      <c r="B78" s="42" t="s">
        <v>341</v>
      </c>
      <c r="C78" s="2" t="s">
        <v>39</v>
      </c>
      <c r="D78" s="46" t="s">
        <v>25</v>
      </c>
      <c r="E78" s="44" t="s">
        <v>323</v>
      </c>
      <c r="F78" s="47" t="s">
        <v>26</v>
      </c>
      <c r="G78" s="48" t="s">
        <v>84</v>
      </c>
      <c r="H78" s="41">
        <v>1</v>
      </c>
      <c r="I78" s="49" t="s">
        <v>239</v>
      </c>
      <c r="J78" s="39">
        <v>1</v>
      </c>
      <c r="K78" s="40">
        <f>VLOOKUP(E78,照明設備稼働時間!$A$4:$F$20,5,FALSE)</f>
        <v>0</v>
      </c>
      <c r="L78" s="40" t="str">
        <f t="shared" si="2"/>
        <v>6V10W1非常灯　電池内蔵</v>
      </c>
      <c r="M78" s="40">
        <f>VLOOKUP(L78,照明器具種類!$B$4:$F$89,5,FALSE)</f>
        <v>2</v>
      </c>
      <c r="N78" s="44">
        <v>1</v>
      </c>
      <c r="O78" s="67">
        <f t="shared" si="3"/>
        <v>0</v>
      </c>
    </row>
    <row r="79" spans="1:15">
      <c r="A79" s="44" t="s">
        <v>418</v>
      </c>
      <c r="B79" s="42" t="s">
        <v>341</v>
      </c>
      <c r="C79" s="2" t="s">
        <v>39</v>
      </c>
      <c r="D79" s="46" t="s">
        <v>25</v>
      </c>
      <c r="E79" s="44" t="s">
        <v>323</v>
      </c>
      <c r="F79" s="47" t="s">
        <v>73</v>
      </c>
      <c r="G79" s="48" t="s">
        <v>84</v>
      </c>
      <c r="H79" s="41">
        <v>1</v>
      </c>
      <c r="I79" s="49" t="s">
        <v>239</v>
      </c>
      <c r="J79" s="39">
        <v>2</v>
      </c>
      <c r="K79" s="40">
        <f>VLOOKUP(E79,照明設備稼働時間!$A$4:$F$20,5,FALSE)</f>
        <v>0</v>
      </c>
      <c r="L79" s="40" t="str">
        <f t="shared" si="2"/>
        <v>6V10W1非常灯　電池内蔵</v>
      </c>
      <c r="M79" s="40">
        <f>VLOOKUP(L79,照明器具種類!$B$4:$F$89,5,FALSE)</f>
        <v>2</v>
      </c>
      <c r="N79" s="44">
        <v>1</v>
      </c>
      <c r="O79" s="67">
        <f t="shared" si="3"/>
        <v>0</v>
      </c>
    </row>
    <row r="80" spans="1:15">
      <c r="A80" s="44" t="s">
        <v>419</v>
      </c>
      <c r="B80" s="42" t="s">
        <v>341</v>
      </c>
      <c r="C80" s="2"/>
      <c r="D80" s="46" t="s">
        <v>67</v>
      </c>
      <c r="E80" s="44" t="s">
        <v>323</v>
      </c>
      <c r="F80" s="47" t="s">
        <v>32</v>
      </c>
      <c r="G80" s="48" t="s">
        <v>346</v>
      </c>
      <c r="H80" s="41">
        <v>2</v>
      </c>
      <c r="I80" s="49" t="s">
        <v>75</v>
      </c>
      <c r="J80" s="39">
        <v>1</v>
      </c>
      <c r="K80" s="40">
        <f>VLOOKUP(E80,照明設備稼働時間!$A$4:$F$20,5,FALSE)</f>
        <v>0</v>
      </c>
      <c r="L80" s="40" t="str">
        <f t="shared" si="2"/>
        <v>FL+G60:J8020S･W2V202　非常灯</v>
      </c>
      <c r="M80" s="40">
        <f>VLOOKUP(L80,照明器具種類!$B$4:$F$89,5,FALSE)</f>
        <v>45</v>
      </c>
      <c r="N80" s="44">
        <v>1</v>
      </c>
      <c r="O80" s="67">
        <f t="shared" si="3"/>
        <v>0</v>
      </c>
    </row>
    <row r="81" spans="1:15">
      <c r="A81" s="44" t="s">
        <v>420</v>
      </c>
      <c r="B81" s="42" t="s">
        <v>341</v>
      </c>
      <c r="C81" s="3" t="s">
        <v>89</v>
      </c>
      <c r="D81" s="46" t="s">
        <v>513</v>
      </c>
      <c r="E81" s="44" t="s">
        <v>531</v>
      </c>
      <c r="F81" s="47" t="s">
        <v>49</v>
      </c>
      <c r="G81" s="48" t="s">
        <v>175</v>
      </c>
      <c r="H81" s="41">
        <v>2</v>
      </c>
      <c r="I81" s="49" t="s">
        <v>176</v>
      </c>
      <c r="J81" s="39">
        <v>1</v>
      </c>
      <c r="K81" s="40">
        <f>VLOOKUP(E81,照明設備稼働時間!$A$4:$F$20,5,FALSE)</f>
        <v>5430</v>
      </c>
      <c r="L81" s="40" t="str">
        <f t="shared" si="2"/>
        <v>FL20W＋IL40W2逆富士</v>
      </c>
      <c r="M81" s="40">
        <f>VLOOKUP(L81,照明器具種類!$B$4:$F$89,5,FALSE)</f>
        <v>44</v>
      </c>
      <c r="N81" s="44">
        <v>1</v>
      </c>
      <c r="O81" s="67">
        <f t="shared" si="3"/>
        <v>238.92</v>
      </c>
    </row>
    <row r="82" spans="1:15">
      <c r="A82" s="44" t="s">
        <v>421</v>
      </c>
      <c r="B82" s="42" t="s">
        <v>341</v>
      </c>
      <c r="C82" s="3" t="s">
        <v>90</v>
      </c>
      <c r="D82" s="46" t="s">
        <v>513</v>
      </c>
      <c r="E82" s="44" t="s">
        <v>320</v>
      </c>
      <c r="F82" s="47" t="s">
        <v>19</v>
      </c>
      <c r="G82" s="48" t="s">
        <v>177</v>
      </c>
      <c r="H82" s="41">
        <v>1</v>
      </c>
      <c r="I82" s="49" t="s">
        <v>176</v>
      </c>
      <c r="J82" s="39">
        <v>1</v>
      </c>
      <c r="K82" s="40">
        <f>VLOOKUP(E82,照明設備稼働時間!$A$4:$F$20,5,FALSE)</f>
        <v>362</v>
      </c>
      <c r="L82" s="40" t="str">
        <f t="shared" si="2"/>
        <v>FL40W1逆富士</v>
      </c>
      <c r="M82" s="40">
        <f>VLOOKUP(L82,照明器具種類!$B$4:$F$89,5,FALSE)</f>
        <v>47</v>
      </c>
      <c r="N82" s="44">
        <v>1</v>
      </c>
      <c r="O82" s="67">
        <f t="shared" si="3"/>
        <v>17.013999999999999</v>
      </c>
    </row>
    <row r="83" spans="1:15">
      <c r="A83" s="44" t="s">
        <v>422</v>
      </c>
      <c r="B83" s="42" t="s">
        <v>341</v>
      </c>
      <c r="C83" s="3" t="s">
        <v>44</v>
      </c>
      <c r="D83" s="46" t="s">
        <v>137</v>
      </c>
      <c r="E83" s="44" t="s">
        <v>320</v>
      </c>
      <c r="F83" s="47" t="s">
        <v>19</v>
      </c>
      <c r="G83" s="48" t="s">
        <v>178</v>
      </c>
      <c r="H83" s="41">
        <v>2</v>
      </c>
      <c r="I83" s="49" t="s">
        <v>176</v>
      </c>
      <c r="J83" s="39">
        <v>1</v>
      </c>
      <c r="K83" s="40">
        <f>VLOOKUP(E83,照明設備稼働時間!$A$4:$F$20,5,FALSE)</f>
        <v>362</v>
      </c>
      <c r="L83" s="40" t="str">
        <f t="shared" si="2"/>
        <v>FL20W2逆富士</v>
      </c>
      <c r="M83" s="40">
        <f>VLOOKUP(L83,照明器具種類!$B$4:$F$89,5,FALSE)</f>
        <v>44</v>
      </c>
      <c r="N83" s="44">
        <v>1</v>
      </c>
      <c r="O83" s="67">
        <f t="shared" si="3"/>
        <v>15.928000000000001</v>
      </c>
    </row>
    <row r="84" spans="1:15">
      <c r="A84" s="44" t="s">
        <v>423</v>
      </c>
      <c r="B84" s="42" t="s">
        <v>341</v>
      </c>
      <c r="C84" s="3" t="s">
        <v>91</v>
      </c>
      <c r="D84" s="46" t="s">
        <v>137</v>
      </c>
      <c r="E84" s="44" t="s">
        <v>320</v>
      </c>
      <c r="F84" s="47" t="s">
        <v>19</v>
      </c>
      <c r="G84" s="48" t="s">
        <v>177</v>
      </c>
      <c r="H84" s="41">
        <v>1</v>
      </c>
      <c r="I84" s="49" t="s">
        <v>185</v>
      </c>
      <c r="J84" s="39">
        <v>1</v>
      </c>
      <c r="K84" s="40">
        <f>VLOOKUP(E84,照明設備稼働時間!$A$4:$F$20,5,FALSE)</f>
        <v>362</v>
      </c>
      <c r="L84" s="40" t="str">
        <f t="shared" si="2"/>
        <v>FL40W1片反射笠付</v>
      </c>
      <c r="M84" s="40">
        <f>VLOOKUP(L84,照明器具種類!$B$4:$F$89,5,FALSE)</f>
        <v>47</v>
      </c>
      <c r="N84" s="44">
        <v>1</v>
      </c>
      <c r="O84" s="67">
        <f t="shared" si="3"/>
        <v>17.013999999999999</v>
      </c>
    </row>
    <row r="85" spans="1:15">
      <c r="A85" s="44" t="s">
        <v>424</v>
      </c>
      <c r="B85" s="42" t="s">
        <v>341</v>
      </c>
      <c r="C85" s="3" t="s">
        <v>92</v>
      </c>
      <c r="D85" s="46" t="s">
        <v>137</v>
      </c>
      <c r="E85" s="44" t="s">
        <v>531</v>
      </c>
      <c r="F85" s="47" t="s">
        <v>15</v>
      </c>
      <c r="G85" s="48" t="s">
        <v>177</v>
      </c>
      <c r="H85" s="41">
        <v>2</v>
      </c>
      <c r="I85" s="49" t="s">
        <v>186</v>
      </c>
      <c r="J85" s="39">
        <v>1</v>
      </c>
      <c r="K85" s="40">
        <f>VLOOKUP(E85,照明設備稼働時間!$A$4:$F$20,5,FALSE)</f>
        <v>5430</v>
      </c>
      <c r="L85" s="40" t="str">
        <f t="shared" si="2"/>
        <v>FL40W2埋込</v>
      </c>
      <c r="M85" s="40">
        <f>VLOOKUP(L85,照明器具種類!$B$4:$F$89,5,FALSE)</f>
        <v>94</v>
      </c>
      <c r="N85" s="44">
        <v>1</v>
      </c>
      <c r="O85" s="67">
        <f t="shared" si="3"/>
        <v>510.42</v>
      </c>
    </row>
    <row r="86" spans="1:15">
      <c r="A86" s="44" t="s">
        <v>425</v>
      </c>
      <c r="B86" s="42" t="s">
        <v>341</v>
      </c>
      <c r="C86" s="3" t="s">
        <v>93</v>
      </c>
      <c r="D86" s="46" t="s">
        <v>137</v>
      </c>
      <c r="E86" s="44" t="s">
        <v>531</v>
      </c>
      <c r="F86" s="47" t="s">
        <v>15</v>
      </c>
      <c r="G86" s="48" t="s">
        <v>179</v>
      </c>
      <c r="H86" s="41">
        <v>2</v>
      </c>
      <c r="I86" s="49" t="s">
        <v>186</v>
      </c>
      <c r="J86" s="39">
        <v>1</v>
      </c>
      <c r="K86" s="40">
        <f>VLOOKUP(E86,照明設備稼働時間!$A$4:$F$20,5,FALSE)</f>
        <v>5430</v>
      </c>
      <c r="L86" s="40" t="str">
        <f t="shared" si="2"/>
        <v>FL40W＋IL40W2埋込</v>
      </c>
      <c r="M86" s="40">
        <f>VLOOKUP(L86,照明器具種類!$B$4:$F$89,5,FALSE)</f>
        <v>94</v>
      </c>
      <c r="N86" s="44">
        <v>1</v>
      </c>
      <c r="O86" s="67">
        <f t="shared" si="3"/>
        <v>510.42</v>
      </c>
    </row>
    <row r="87" spans="1:15">
      <c r="A87" s="44" t="s">
        <v>426</v>
      </c>
      <c r="B87" s="42" t="s">
        <v>341</v>
      </c>
      <c r="C87" s="3" t="s">
        <v>94</v>
      </c>
      <c r="D87" s="46" t="s">
        <v>137</v>
      </c>
      <c r="E87" s="44" t="s">
        <v>532</v>
      </c>
      <c r="F87" s="47" t="s">
        <v>95</v>
      </c>
      <c r="G87" s="48" t="s">
        <v>20</v>
      </c>
      <c r="H87" s="41">
        <v>1</v>
      </c>
      <c r="I87" s="49" t="s">
        <v>96</v>
      </c>
      <c r="J87" s="39">
        <v>1</v>
      </c>
      <c r="K87" s="40">
        <f>VLOOKUP(E87,照明設備稼働時間!$A$4:$F$20,5,FALSE)</f>
        <v>1810</v>
      </c>
      <c r="L87" s="40" t="str">
        <f t="shared" si="2"/>
        <v>LW110V60W1コップ灯</v>
      </c>
      <c r="M87" s="40">
        <f>VLOOKUP(L87,照明器具種類!$B$4:$F$89,5,FALSE)</f>
        <v>60</v>
      </c>
      <c r="N87" s="44">
        <v>1</v>
      </c>
      <c r="O87" s="67">
        <f t="shared" si="3"/>
        <v>108.6</v>
      </c>
    </row>
    <row r="88" spans="1:15">
      <c r="A88" s="44" t="s">
        <v>427</v>
      </c>
      <c r="B88" s="42" t="s">
        <v>341</v>
      </c>
      <c r="C88" s="3" t="s">
        <v>97</v>
      </c>
      <c r="D88" s="46" t="s">
        <v>137</v>
      </c>
      <c r="E88" s="44" t="s">
        <v>532</v>
      </c>
      <c r="F88" s="47" t="s">
        <v>95</v>
      </c>
      <c r="G88" s="48" t="s">
        <v>138</v>
      </c>
      <c r="H88" s="41">
        <v>1</v>
      </c>
      <c r="I88" s="49" t="s">
        <v>96</v>
      </c>
      <c r="J88" s="39">
        <v>1</v>
      </c>
      <c r="K88" s="40">
        <f>VLOOKUP(E88,照明設備稼働時間!$A$4:$F$20,5,FALSE)</f>
        <v>1810</v>
      </c>
      <c r="L88" s="40" t="str">
        <f t="shared" si="2"/>
        <v>LW110V40W1コップ灯</v>
      </c>
      <c r="M88" s="40">
        <f>VLOOKUP(L88,照明器具種類!$B$4:$F$89,5,FALSE)</f>
        <v>40</v>
      </c>
      <c r="N88" s="44">
        <v>1</v>
      </c>
      <c r="O88" s="67">
        <f t="shared" si="3"/>
        <v>72.400000000000006</v>
      </c>
    </row>
    <row r="89" spans="1:15">
      <c r="A89" s="44" t="s">
        <v>428</v>
      </c>
      <c r="B89" s="42" t="s">
        <v>341</v>
      </c>
      <c r="C89" s="3" t="s">
        <v>98</v>
      </c>
      <c r="D89" s="46" t="s">
        <v>137</v>
      </c>
      <c r="E89" s="44" t="s">
        <v>532</v>
      </c>
      <c r="F89" s="47" t="s">
        <v>95</v>
      </c>
      <c r="G89" s="48" t="s">
        <v>178</v>
      </c>
      <c r="H89" s="41">
        <v>1</v>
      </c>
      <c r="I89" s="49" t="s">
        <v>176</v>
      </c>
      <c r="J89" s="39">
        <v>1</v>
      </c>
      <c r="K89" s="40">
        <f>VLOOKUP(E89,照明設備稼働時間!$A$4:$F$20,5,FALSE)</f>
        <v>1810</v>
      </c>
      <c r="L89" s="40" t="str">
        <f t="shared" si="2"/>
        <v>FL20W1逆富士</v>
      </c>
      <c r="M89" s="40">
        <f>VLOOKUP(L89,照明器具種類!$B$4:$F$89,5,FALSE)</f>
        <v>22</v>
      </c>
      <c r="N89" s="44">
        <v>1</v>
      </c>
      <c r="O89" s="67">
        <f t="shared" si="3"/>
        <v>39.82</v>
      </c>
    </row>
    <row r="90" spans="1:15">
      <c r="A90" s="44" t="s">
        <v>429</v>
      </c>
      <c r="B90" s="42" t="s">
        <v>341</v>
      </c>
      <c r="C90" s="3" t="s">
        <v>99</v>
      </c>
      <c r="D90" s="46" t="s">
        <v>137</v>
      </c>
      <c r="E90" s="44" t="s">
        <v>532</v>
      </c>
      <c r="F90" s="47" t="s">
        <v>95</v>
      </c>
      <c r="G90" s="48" t="s">
        <v>180</v>
      </c>
      <c r="H90" s="41">
        <v>1</v>
      </c>
      <c r="I90" s="49" t="s">
        <v>100</v>
      </c>
      <c r="J90" s="39">
        <v>1</v>
      </c>
      <c r="K90" s="40">
        <f>VLOOKUP(E90,照明設備稼働時間!$A$4:$F$20,5,FALSE)</f>
        <v>1810</v>
      </c>
      <c r="L90" s="40" t="str">
        <f t="shared" si="2"/>
        <v>FL20W1ブラケット</v>
      </c>
      <c r="M90" s="40">
        <f>VLOOKUP(L90,照明器具種類!$B$4:$F$89,5,FALSE)</f>
        <v>47</v>
      </c>
      <c r="N90" s="44">
        <v>1</v>
      </c>
      <c r="O90" s="67">
        <f t="shared" si="3"/>
        <v>85.07</v>
      </c>
    </row>
    <row r="91" spans="1:15">
      <c r="A91" s="44" t="s">
        <v>430</v>
      </c>
      <c r="B91" s="42" t="s">
        <v>341</v>
      </c>
      <c r="C91" s="3" t="s">
        <v>101</v>
      </c>
      <c r="D91" s="46" t="s">
        <v>137</v>
      </c>
      <c r="E91" s="44" t="s">
        <v>531</v>
      </c>
      <c r="F91" s="47" t="s">
        <v>102</v>
      </c>
      <c r="G91" s="48" t="s">
        <v>177</v>
      </c>
      <c r="H91" s="41">
        <v>2</v>
      </c>
      <c r="I91" s="49" t="s">
        <v>187</v>
      </c>
      <c r="J91" s="39">
        <v>5</v>
      </c>
      <c r="K91" s="40">
        <f>VLOOKUP(E91,照明設備稼働時間!$A$4:$F$20,5,FALSE)</f>
        <v>5430</v>
      </c>
      <c r="L91" s="40" t="str">
        <f t="shared" si="2"/>
        <v>FL40W2笠付</v>
      </c>
      <c r="M91" s="40">
        <f>VLOOKUP(L91,照明器具種類!$B$4:$F$89,5,FALSE)</f>
        <v>94</v>
      </c>
      <c r="N91" s="44">
        <v>1</v>
      </c>
      <c r="O91" s="67">
        <f t="shared" si="3"/>
        <v>2552.1</v>
      </c>
    </row>
    <row r="92" spans="1:15">
      <c r="A92" s="44" t="s">
        <v>431</v>
      </c>
      <c r="B92" s="42" t="s">
        <v>341</v>
      </c>
      <c r="C92" s="3" t="s">
        <v>103</v>
      </c>
      <c r="D92" s="46" t="s">
        <v>137</v>
      </c>
      <c r="E92" s="44" t="s">
        <v>531</v>
      </c>
      <c r="F92" s="47" t="s">
        <v>102</v>
      </c>
      <c r="G92" s="48" t="s">
        <v>179</v>
      </c>
      <c r="H92" s="41">
        <v>2</v>
      </c>
      <c r="I92" s="49" t="s">
        <v>187</v>
      </c>
      <c r="J92" s="39">
        <v>2</v>
      </c>
      <c r="K92" s="40">
        <f>VLOOKUP(E92,照明設備稼働時間!$A$4:$F$20,5,FALSE)</f>
        <v>5430</v>
      </c>
      <c r="L92" s="40" t="str">
        <f t="shared" si="2"/>
        <v>FL40W＋IL40W2笠付</v>
      </c>
      <c r="M92" s="40">
        <f>VLOOKUP(L92,照明器具種類!$B$4:$F$89,5,FALSE)</f>
        <v>94</v>
      </c>
      <c r="N92" s="44">
        <v>1</v>
      </c>
      <c r="O92" s="67">
        <f t="shared" si="3"/>
        <v>1020.84</v>
      </c>
    </row>
    <row r="93" spans="1:15">
      <c r="A93" s="44" t="s">
        <v>432</v>
      </c>
      <c r="B93" s="42" t="s">
        <v>341</v>
      </c>
      <c r="C93" s="3" t="s">
        <v>91</v>
      </c>
      <c r="D93" s="46" t="s">
        <v>137</v>
      </c>
      <c r="E93" s="44" t="s">
        <v>531</v>
      </c>
      <c r="F93" s="47" t="s">
        <v>102</v>
      </c>
      <c r="G93" s="48" t="s">
        <v>177</v>
      </c>
      <c r="H93" s="41">
        <v>1</v>
      </c>
      <c r="I93" s="49" t="s">
        <v>185</v>
      </c>
      <c r="J93" s="39">
        <v>4</v>
      </c>
      <c r="K93" s="40">
        <f>VLOOKUP(E93,照明設備稼働時間!$A$4:$F$20,5,FALSE)</f>
        <v>5430</v>
      </c>
      <c r="L93" s="40" t="str">
        <f t="shared" si="2"/>
        <v>FL40W1片反射笠付</v>
      </c>
      <c r="M93" s="40">
        <f>VLOOKUP(L93,照明器具種類!$B$4:$F$89,5,FALSE)</f>
        <v>47</v>
      </c>
      <c r="N93" s="44">
        <v>1</v>
      </c>
      <c r="O93" s="67">
        <f t="shared" si="3"/>
        <v>1020.84</v>
      </c>
    </row>
    <row r="94" spans="1:15">
      <c r="A94" s="44" t="s">
        <v>433</v>
      </c>
      <c r="B94" s="42" t="s">
        <v>341</v>
      </c>
      <c r="C94" s="3" t="s">
        <v>101</v>
      </c>
      <c r="D94" s="46" t="s">
        <v>137</v>
      </c>
      <c r="E94" s="44" t="s">
        <v>531</v>
      </c>
      <c r="F94" s="47" t="s">
        <v>104</v>
      </c>
      <c r="G94" s="48" t="s">
        <v>177</v>
      </c>
      <c r="H94" s="41">
        <v>2</v>
      </c>
      <c r="I94" s="49" t="s">
        <v>187</v>
      </c>
      <c r="J94" s="39">
        <v>10</v>
      </c>
      <c r="K94" s="40">
        <f>VLOOKUP(E94,照明設備稼働時間!$A$4:$F$20,5,FALSE)</f>
        <v>5430</v>
      </c>
      <c r="L94" s="40" t="str">
        <f t="shared" si="2"/>
        <v>FL40W2笠付</v>
      </c>
      <c r="M94" s="40">
        <f>VLOOKUP(L94,照明器具種類!$B$4:$F$89,5,FALSE)</f>
        <v>94</v>
      </c>
      <c r="N94" s="44">
        <v>1</v>
      </c>
      <c r="O94" s="67">
        <f t="shared" si="3"/>
        <v>5104.2</v>
      </c>
    </row>
    <row r="95" spans="1:15">
      <c r="A95" s="44" t="s">
        <v>434</v>
      </c>
      <c r="B95" s="42" t="s">
        <v>341</v>
      </c>
      <c r="C95" s="3" t="s">
        <v>103</v>
      </c>
      <c r="D95" s="46" t="s">
        <v>137</v>
      </c>
      <c r="E95" s="44" t="s">
        <v>531</v>
      </c>
      <c r="F95" s="47" t="s">
        <v>104</v>
      </c>
      <c r="G95" s="48" t="s">
        <v>179</v>
      </c>
      <c r="H95" s="41">
        <v>2</v>
      </c>
      <c r="I95" s="49" t="s">
        <v>187</v>
      </c>
      <c r="J95" s="39">
        <v>4</v>
      </c>
      <c r="K95" s="40">
        <f>VLOOKUP(E95,照明設備稼働時間!$A$4:$F$20,5,FALSE)</f>
        <v>5430</v>
      </c>
      <c r="L95" s="40" t="str">
        <f t="shared" si="2"/>
        <v>FL40W＋IL40W2笠付</v>
      </c>
      <c r="M95" s="40">
        <f>VLOOKUP(L95,照明器具種類!$B$4:$F$89,5,FALSE)</f>
        <v>94</v>
      </c>
      <c r="N95" s="44">
        <v>1</v>
      </c>
      <c r="O95" s="67">
        <f t="shared" si="3"/>
        <v>2041.68</v>
      </c>
    </row>
    <row r="96" spans="1:15">
      <c r="A96" s="44" t="s">
        <v>435</v>
      </c>
      <c r="B96" s="42" t="s">
        <v>341</v>
      </c>
      <c r="C96" s="3" t="s">
        <v>91</v>
      </c>
      <c r="D96" s="46" t="s">
        <v>137</v>
      </c>
      <c r="E96" s="44" t="s">
        <v>531</v>
      </c>
      <c r="F96" s="47" t="s">
        <v>105</v>
      </c>
      <c r="G96" s="48" t="s">
        <v>177</v>
      </c>
      <c r="H96" s="41">
        <v>1</v>
      </c>
      <c r="I96" s="49" t="s">
        <v>185</v>
      </c>
      <c r="J96" s="39">
        <v>8</v>
      </c>
      <c r="K96" s="40">
        <f>VLOOKUP(E96,照明設備稼働時間!$A$4:$F$20,5,FALSE)</f>
        <v>5430</v>
      </c>
      <c r="L96" s="40" t="str">
        <f t="shared" si="2"/>
        <v>FL40W1片反射笠付</v>
      </c>
      <c r="M96" s="40">
        <f>VLOOKUP(L96,照明器具種類!$B$4:$F$89,5,FALSE)</f>
        <v>47</v>
      </c>
      <c r="N96" s="44">
        <v>1</v>
      </c>
      <c r="O96" s="67">
        <f t="shared" si="3"/>
        <v>2041.68</v>
      </c>
    </row>
    <row r="97" spans="1:15">
      <c r="A97" s="44" t="s">
        <v>436</v>
      </c>
      <c r="B97" s="42" t="s">
        <v>341</v>
      </c>
      <c r="C97" s="3" t="s">
        <v>101</v>
      </c>
      <c r="D97" s="46" t="s">
        <v>137</v>
      </c>
      <c r="E97" s="44" t="s">
        <v>520</v>
      </c>
      <c r="F97" s="47" t="s">
        <v>166</v>
      </c>
      <c r="G97" s="48" t="s">
        <v>177</v>
      </c>
      <c r="H97" s="41">
        <v>2</v>
      </c>
      <c r="I97" s="49" t="s">
        <v>187</v>
      </c>
      <c r="J97" s="39">
        <v>2</v>
      </c>
      <c r="K97" s="40">
        <f>VLOOKUP(E97,照明設備稼働時間!$A$4:$F$20,5,FALSE)</f>
        <v>724</v>
      </c>
      <c r="L97" s="40" t="str">
        <f t="shared" si="2"/>
        <v>FL40W2笠付</v>
      </c>
      <c r="M97" s="40">
        <f>VLOOKUP(L97,照明器具種類!$B$4:$F$89,5,FALSE)</f>
        <v>94</v>
      </c>
      <c r="N97" s="44">
        <v>1</v>
      </c>
      <c r="O97" s="67">
        <f t="shared" si="3"/>
        <v>136.11199999999999</v>
      </c>
    </row>
    <row r="98" spans="1:15">
      <c r="A98" s="44" t="s">
        <v>437</v>
      </c>
      <c r="B98" s="42" t="s">
        <v>341</v>
      </c>
      <c r="C98" s="3" t="s">
        <v>103</v>
      </c>
      <c r="D98" s="46" t="s">
        <v>137</v>
      </c>
      <c r="E98" s="44" t="s">
        <v>520</v>
      </c>
      <c r="F98" s="47" t="s">
        <v>166</v>
      </c>
      <c r="G98" s="48" t="s">
        <v>179</v>
      </c>
      <c r="H98" s="41">
        <v>2</v>
      </c>
      <c r="I98" s="49" t="s">
        <v>187</v>
      </c>
      <c r="J98" s="39">
        <v>2</v>
      </c>
      <c r="K98" s="40">
        <f>VLOOKUP(E98,照明設備稼働時間!$A$4:$F$20,5,FALSE)</f>
        <v>724</v>
      </c>
      <c r="L98" s="40" t="str">
        <f t="shared" si="2"/>
        <v>FL40W＋IL40W2笠付</v>
      </c>
      <c r="M98" s="40">
        <f>VLOOKUP(L98,照明器具種類!$B$4:$F$89,5,FALSE)</f>
        <v>94</v>
      </c>
      <c r="N98" s="44">
        <v>1</v>
      </c>
      <c r="O98" s="67">
        <f t="shared" si="3"/>
        <v>136.11199999999999</v>
      </c>
    </row>
    <row r="99" spans="1:15">
      <c r="A99" s="44" t="s">
        <v>438</v>
      </c>
      <c r="B99" s="42" t="s">
        <v>341</v>
      </c>
      <c r="C99" s="3" t="s">
        <v>91</v>
      </c>
      <c r="D99" s="46" t="s">
        <v>137</v>
      </c>
      <c r="E99" s="44" t="s">
        <v>520</v>
      </c>
      <c r="F99" s="47" t="s">
        <v>166</v>
      </c>
      <c r="G99" s="48" t="s">
        <v>177</v>
      </c>
      <c r="H99" s="41">
        <v>1</v>
      </c>
      <c r="I99" s="49" t="s">
        <v>185</v>
      </c>
      <c r="J99" s="39">
        <v>4</v>
      </c>
      <c r="K99" s="40">
        <f>VLOOKUP(E99,照明設備稼働時間!$A$4:$F$20,5,FALSE)</f>
        <v>724</v>
      </c>
      <c r="L99" s="40" t="str">
        <f t="shared" si="2"/>
        <v>FL40W1片反射笠付</v>
      </c>
      <c r="M99" s="40">
        <f>VLOOKUP(L99,照明器具種類!$B$4:$F$89,5,FALSE)</f>
        <v>47</v>
      </c>
      <c r="N99" s="44">
        <v>1</v>
      </c>
      <c r="O99" s="67">
        <f t="shared" si="3"/>
        <v>136.11199999999999</v>
      </c>
    </row>
    <row r="100" spans="1:15">
      <c r="A100" s="44" t="s">
        <v>439</v>
      </c>
      <c r="B100" s="42" t="s">
        <v>341</v>
      </c>
      <c r="C100" s="3" t="s">
        <v>106</v>
      </c>
      <c r="D100" s="46" t="s">
        <v>137</v>
      </c>
      <c r="E100" s="44" t="s">
        <v>520</v>
      </c>
      <c r="F100" s="47" t="s">
        <v>166</v>
      </c>
      <c r="G100" s="48" t="s">
        <v>138</v>
      </c>
      <c r="H100" s="41">
        <v>1</v>
      </c>
      <c r="I100" s="49" t="s">
        <v>96</v>
      </c>
      <c r="J100" s="39">
        <v>1</v>
      </c>
      <c r="K100" s="40">
        <f>VLOOKUP(E100,照明設備稼働時間!$A$4:$F$20,5,FALSE)</f>
        <v>724</v>
      </c>
      <c r="L100" s="40" t="str">
        <f t="shared" si="2"/>
        <v>LW110V40W1コップ灯</v>
      </c>
      <c r="M100" s="40">
        <f>VLOOKUP(L100,照明器具種類!$B$4:$F$89,5,FALSE)</f>
        <v>40</v>
      </c>
      <c r="N100" s="44">
        <v>1</v>
      </c>
      <c r="O100" s="67">
        <f t="shared" si="3"/>
        <v>28.96</v>
      </c>
    </row>
    <row r="101" spans="1:15">
      <c r="A101" s="44" t="s">
        <v>440</v>
      </c>
      <c r="B101" s="42" t="s">
        <v>341</v>
      </c>
      <c r="C101" s="3" t="s">
        <v>44</v>
      </c>
      <c r="D101" s="46" t="s">
        <v>137</v>
      </c>
      <c r="E101" s="44" t="s">
        <v>531</v>
      </c>
      <c r="F101" s="47" t="s">
        <v>32</v>
      </c>
      <c r="G101" s="48" t="s">
        <v>178</v>
      </c>
      <c r="H101" s="41">
        <v>2</v>
      </c>
      <c r="I101" s="49" t="s">
        <v>176</v>
      </c>
      <c r="J101" s="39">
        <v>1</v>
      </c>
      <c r="K101" s="40">
        <f>VLOOKUP(E101,照明設備稼働時間!$A$4:$F$20,5,FALSE)</f>
        <v>5430</v>
      </c>
      <c r="L101" s="40" t="str">
        <f t="shared" si="2"/>
        <v>FL20W2逆富士</v>
      </c>
      <c r="M101" s="40">
        <f>VLOOKUP(L101,照明器具種類!$B$4:$F$89,5,FALSE)</f>
        <v>44</v>
      </c>
      <c r="N101" s="44">
        <v>1</v>
      </c>
      <c r="O101" s="67">
        <f t="shared" si="3"/>
        <v>238.92</v>
      </c>
    </row>
    <row r="102" spans="1:15">
      <c r="A102" s="44" t="s">
        <v>441</v>
      </c>
      <c r="B102" s="42" t="s">
        <v>341</v>
      </c>
      <c r="C102" s="3" t="s">
        <v>89</v>
      </c>
      <c r="D102" s="46" t="s">
        <v>137</v>
      </c>
      <c r="E102" s="44" t="s">
        <v>531</v>
      </c>
      <c r="F102" s="47" t="s">
        <v>71</v>
      </c>
      <c r="G102" s="48" t="s">
        <v>175</v>
      </c>
      <c r="H102" s="41">
        <v>2</v>
      </c>
      <c r="I102" s="49" t="s">
        <v>176</v>
      </c>
      <c r="J102" s="39">
        <v>3</v>
      </c>
      <c r="K102" s="40">
        <f>VLOOKUP(E102,照明設備稼働時間!$A$4:$F$20,5,FALSE)</f>
        <v>5430</v>
      </c>
      <c r="L102" s="40" t="str">
        <f t="shared" si="2"/>
        <v>FL20W＋IL40W2逆富士</v>
      </c>
      <c r="M102" s="40">
        <f>VLOOKUP(L102,照明器具種類!$B$4:$F$89,5,FALSE)</f>
        <v>44</v>
      </c>
      <c r="N102" s="44">
        <v>1</v>
      </c>
      <c r="O102" s="67">
        <f t="shared" si="3"/>
        <v>716.76</v>
      </c>
    </row>
    <row r="103" spans="1:15">
      <c r="A103" s="44" t="s">
        <v>442</v>
      </c>
      <c r="B103" s="42" t="s">
        <v>341</v>
      </c>
      <c r="C103" s="3" t="s">
        <v>33</v>
      </c>
      <c r="D103" s="46" t="s">
        <v>12</v>
      </c>
      <c r="E103" s="44" t="s">
        <v>315</v>
      </c>
      <c r="F103" s="47" t="s">
        <v>13</v>
      </c>
      <c r="G103" s="48" t="s">
        <v>181</v>
      </c>
      <c r="H103" s="41">
        <v>1</v>
      </c>
      <c r="I103" s="49" t="s">
        <v>188</v>
      </c>
      <c r="J103" s="39">
        <v>10</v>
      </c>
      <c r="K103" s="40">
        <f>VLOOKUP(E103,照明設備稼働時間!$A$4:$F$20,5,FALSE)</f>
        <v>3772</v>
      </c>
      <c r="L103" s="40" t="str">
        <f t="shared" si="2"/>
        <v>EFG15EN13 1ダウンライト</v>
      </c>
      <c r="M103" s="40">
        <f>VLOOKUP(L103,照明器具種類!$B$4:$F$89,5,FALSE)</f>
        <v>13</v>
      </c>
      <c r="N103" s="44">
        <v>0.3</v>
      </c>
      <c r="O103" s="67">
        <f t="shared" si="3"/>
        <v>147.108</v>
      </c>
    </row>
    <row r="104" spans="1:15">
      <c r="A104" s="44" t="s">
        <v>443</v>
      </c>
      <c r="B104" s="42" t="s">
        <v>341</v>
      </c>
      <c r="C104" s="3" t="s">
        <v>33</v>
      </c>
      <c r="D104" s="46" t="s">
        <v>12</v>
      </c>
      <c r="E104" s="44" t="s">
        <v>315</v>
      </c>
      <c r="F104" s="47" t="s">
        <v>26</v>
      </c>
      <c r="G104" s="48" t="s">
        <v>139</v>
      </c>
      <c r="H104" s="41">
        <v>1</v>
      </c>
      <c r="I104" s="49" t="s">
        <v>188</v>
      </c>
      <c r="J104" s="39">
        <v>33</v>
      </c>
      <c r="K104" s="40">
        <f>VLOOKUP(E104,照明設備稼働時間!$A$4:$F$20,5,FALSE)</f>
        <v>3772</v>
      </c>
      <c r="L104" s="40" t="str">
        <f t="shared" si="2"/>
        <v>EFG15EN13 1ダウンライト</v>
      </c>
      <c r="M104" s="40">
        <f>VLOOKUP(L104,照明器具種類!$B$4:$F$89,5,FALSE)</f>
        <v>13</v>
      </c>
      <c r="N104" s="44">
        <v>0.3</v>
      </c>
      <c r="O104" s="67">
        <f t="shared" si="3"/>
        <v>485.45639999999997</v>
      </c>
    </row>
    <row r="105" spans="1:15">
      <c r="A105" s="44" t="s">
        <v>444</v>
      </c>
      <c r="B105" s="42" t="s">
        <v>341</v>
      </c>
      <c r="C105" s="3" t="s">
        <v>92</v>
      </c>
      <c r="D105" s="46" t="s">
        <v>12</v>
      </c>
      <c r="E105" s="44" t="s">
        <v>315</v>
      </c>
      <c r="F105" s="47" t="s">
        <v>107</v>
      </c>
      <c r="G105" s="48" t="s">
        <v>177</v>
      </c>
      <c r="H105" s="41">
        <v>2</v>
      </c>
      <c r="I105" s="49" t="s">
        <v>186</v>
      </c>
      <c r="J105" s="39">
        <v>5</v>
      </c>
      <c r="K105" s="40">
        <f>VLOOKUP(E105,照明設備稼働時間!$A$4:$F$20,5,FALSE)</f>
        <v>3772</v>
      </c>
      <c r="L105" s="40" t="str">
        <f t="shared" si="2"/>
        <v>FL40W2埋込</v>
      </c>
      <c r="M105" s="40">
        <f>VLOOKUP(L105,照明器具種類!$B$4:$F$89,5,FALSE)</f>
        <v>94</v>
      </c>
      <c r="N105" s="44">
        <v>1</v>
      </c>
      <c r="O105" s="67">
        <f t="shared" si="3"/>
        <v>1772.84</v>
      </c>
    </row>
    <row r="106" spans="1:15">
      <c r="A106" s="44" t="s">
        <v>445</v>
      </c>
      <c r="B106" s="42" t="s">
        <v>341</v>
      </c>
      <c r="C106" s="3" t="s">
        <v>93</v>
      </c>
      <c r="D106" s="46" t="s">
        <v>12</v>
      </c>
      <c r="E106" s="44" t="s">
        <v>315</v>
      </c>
      <c r="F106" s="47" t="s">
        <v>107</v>
      </c>
      <c r="G106" s="48" t="s">
        <v>179</v>
      </c>
      <c r="H106" s="41">
        <v>2</v>
      </c>
      <c r="I106" s="49" t="s">
        <v>186</v>
      </c>
      <c r="J106" s="39">
        <v>1</v>
      </c>
      <c r="K106" s="40">
        <f>VLOOKUP(E106,照明設備稼働時間!$A$4:$F$20,5,FALSE)</f>
        <v>3772</v>
      </c>
      <c r="L106" s="40" t="str">
        <f t="shared" si="2"/>
        <v>FL40W＋IL40W2埋込</v>
      </c>
      <c r="M106" s="40">
        <f>VLOOKUP(L106,照明器具種類!$B$4:$F$89,5,FALSE)</f>
        <v>94</v>
      </c>
      <c r="N106" s="44">
        <v>1</v>
      </c>
      <c r="O106" s="67">
        <f t="shared" si="3"/>
        <v>354.56799999999998</v>
      </c>
    </row>
    <row r="107" spans="1:15">
      <c r="A107" s="44" t="s">
        <v>446</v>
      </c>
      <c r="B107" s="42" t="s">
        <v>341</v>
      </c>
      <c r="C107" s="3" t="s">
        <v>108</v>
      </c>
      <c r="D107" s="46" t="s">
        <v>12</v>
      </c>
      <c r="E107" s="44" t="s">
        <v>315</v>
      </c>
      <c r="F107" s="47" t="s">
        <v>109</v>
      </c>
      <c r="G107" s="48" t="s">
        <v>175</v>
      </c>
      <c r="H107" s="41">
        <v>2</v>
      </c>
      <c r="I107" s="49" t="s">
        <v>186</v>
      </c>
      <c r="J107" s="39">
        <v>1</v>
      </c>
      <c r="K107" s="40">
        <f>VLOOKUP(E107,照明設備稼働時間!$A$4:$F$20,5,FALSE)</f>
        <v>3772</v>
      </c>
      <c r="L107" s="40" t="str">
        <f t="shared" si="2"/>
        <v>FL20W＋IL40W2埋込</v>
      </c>
      <c r="M107" s="40">
        <f>VLOOKUP(L107,照明器具種類!$B$4:$F$89,5,FALSE)</f>
        <v>44</v>
      </c>
      <c r="N107" s="44">
        <v>1</v>
      </c>
      <c r="O107" s="67">
        <f t="shared" si="3"/>
        <v>165.96799999999999</v>
      </c>
    </row>
    <row r="108" spans="1:15">
      <c r="A108" s="44" t="s">
        <v>447</v>
      </c>
      <c r="B108" s="42" t="s">
        <v>341</v>
      </c>
      <c r="C108" s="3" t="s">
        <v>108</v>
      </c>
      <c r="D108" s="46" t="s">
        <v>12</v>
      </c>
      <c r="E108" s="44" t="s">
        <v>315</v>
      </c>
      <c r="F108" s="47" t="s">
        <v>71</v>
      </c>
      <c r="G108" s="48" t="s">
        <v>175</v>
      </c>
      <c r="H108" s="41">
        <v>2</v>
      </c>
      <c r="I108" s="49" t="s">
        <v>186</v>
      </c>
      <c r="J108" s="39">
        <v>1</v>
      </c>
      <c r="K108" s="40">
        <f>VLOOKUP(E108,照明設備稼働時間!$A$4:$F$20,5,FALSE)</f>
        <v>3772</v>
      </c>
      <c r="L108" s="40" t="str">
        <f t="shared" si="2"/>
        <v>FL20W＋IL40W2埋込</v>
      </c>
      <c r="M108" s="40">
        <f>VLOOKUP(L108,照明器具種類!$B$4:$F$89,5,FALSE)</f>
        <v>44</v>
      </c>
      <c r="N108" s="44">
        <v>1</v>
      </c>
      <c r="O108" s="67">
        <f t="shared" si="3"/>
        <v>165.96799999999999</v>
      </c>
    </row>
    <row r="109" spans="1:15">
      <c r="A109" s="44" t="s">
        <v>448</v>
      </c>
      <c r="B109" s="42" t="s">
        <v>341</v>
      </c>
      <c r="C109" s="3" t="s">
        <v>44</v>
      </c>
      <c r="D109" s="46" t="s">
        <v>12</v>
      </c>
      <c r="E109" s="44" t="s">
        <v>315</v>
      </c>
      <c r="F109" s="47" t="s">
        <v>110</v>
      </c>
      <c r="G109" s="48" t="s">
        <v>178</v>
      </c>
      <c r="H109" s="41">
        <v>2</v>
      </c>
      <c r="I109" s="49" t="s">
        <v>176</v>
      </c>
      <c r="J109" s="39">
        <v>1</v>
      </c>
      <c r="K109" s="40">
        <f>VLOOKUP(E109,照明設備稼働時間!$A$4:$F$20,5,FALSE)</f>
        <v>3772</v>
      </c>
      <c r="L109" s="40" t="str">
        <f t="shared" si="2"/>
        <v>FL20W2逆富士</v>
      </c>
      <c r="M109" s="40">
        <f>VLOOKUP(L109,照明器具種類!$B$4:$F$89,5,FALSE)</f>
        <v>44</v>
      </c>
      <c r="N109" s="44">
        <v>1</v>
      </c>
      <c r="O109" s="67">
        <f t="shared" si="3"/>
        <v>165.96799999999999</v>
      </c>
    </row>
    <row r="110" spans="1:15">
      <c r="A110" s="44" t="s">
        <v>449</v>
      </c>
      <c r="B110" s="42" t="s">
        <v>341</v>
      </c>
      <c r="C110" s="3" t="s">
        <v>106</v>
      </c>
      <c r="D110" s="46" t="s">
        <v>12</v>
      </c>
      <c r="E110" s="44" t="s">
        <v>320</v>
      </c>
      <c r="F110" s="47" t="s">
        <v>111</v>
      </c>
      <c r="G110" s="48" t="s">
        <v>138</v>
      </c>
      <c r="H110" s="41">
        <v>1</v>
      </c>
      <c r="I110" s="49" t="s">
        <v>96</v>
      </c>
      <c r="J110" s="39">
        <v>3</v>
      </c>
      <c r="K110" s="40">
        <f>VLOOKUP(E110,照明設備稼働時間!$A$4:$F$20,5,FALSE)</f>
        <v>362</v>
      </c>
      <c r="L110" s="40" t="str">
        <f t="shared" si="2"/>
        <v>LW110V40W1コップ灯</v>
      </c>
      <c r="M110" s="40">
        <f>VLOOKUP(L110,照明器具種類!$B$4:$F$89,5,FALSE)</f>
        <v>40</v>
      </c>
      <c r="N110" s="44">
        <v>1</v>
      </c>
      <c r="O110" s="67">
        <f t="shared" si="3"/>
        <v>43.44</v>
      </c>
    </row>
    <row r="111" spans="1:15">
      <c r="A111" s="44" t="s">
        <v>450</v>
      </c>
      <c r="B111" s="42" t="s">
        <v>341</v>
      </c>
      <c r="C111" s="3"/>
      <c r="D111" s="46" t="s">
        <v>12</v>
      </c>
      <c r="E111" s="44" t="s">
        <v>316</v>
      </c>
      <c r="F111" s="47" t="s">
        <v>112</v>
      </c>
      <c r="G111" s="48" t="s">
        <v>177</v>
      </c>
      <c r="H111" s="41">
        <v>1</v>
      </c>
      <c r="I111" s="49" t="s">
        <v>194</v>
      </c>
      <c r="J111" s="39">
        <v>1</v>
      </c>
      <c r="K111" s="40">
        <f>VLOOKUP(E111,照明設備稼働時間!$A$4:$F$20,5,FALSE)</f>
        <v>1968</v>
      </c>
      <c r="L111" s="40" t="str">
        <f t="shared" si="2"/>
        <v>FL40W1埋込</v>
      </c>
      <c r="M111" s="40">
        <f>VLOOKUP(L111,照明器具種類!$B$4:$F$89,5,FALSE)</f>
        <v>47</v>
      </c>
      <c r="N111" s="44">
        <v>1</v>
      </c>
      <c r="O111" s="67">
        <f t="shared" si="3"/>
        <v>92.495999999999995</v>
      </c>
    </row>
    <row r="112" spans="1:15">
      <c r="A112" s="44" t="s">
        <v>451</v>
      </c>
      <c r="B112" s="42" t="s">
        <v>341</v>
      </c>
      <c r="C112" s="3"/>
      <c r="D112" s="46" t="s">
        <v>12</v>
      </c>
      <c r="E112" s="44" t="s">
        <v>316</v>
      </c>
      <c r="F112" s="47" t="s">
        <v>112</v>
      </c>
      <c r="G112" s="48" t="s">
        <v>177</v>
      </c>
      <c r="H112" s="41">
        <v>1</v>
      </c>
      <c r="I112" s="49" t="s">
        <v>161</v>
      </c>
      <c r="J112" s="39">
        <v>1</v>
      </c>
      <c r="K112" s="40">
        <f>VLOOKUP(E112,照明設備稼働時間!$A$4:$F$20,5,FALSE)</f>
        <v>1968</v>
      </c>
      <c r="L112" s="40" t="str">
        <f t="shared" si="2"/>
        <v>FL40W1ブラケット</v>
      </c>
      <c r="M112" s="40">
        <f>VLOOKUP(L112,照明器具種類!$B$4:$F$89,5,FALSE)</f>
        <v>47</v>
      </c>
      <c r="N112" s="44">
        <v>1</v>
      </c>
      <c r="O112" s="67">
        <f t="shared" si="3"/>
        <v>92.495999999999995</v>
      </c>
    </row>
    <row r="113" spans="1:15">
      <c r="A113" s="44" t="s">
        <v>452</v>
      </c>
      <c r="B113" s="42" t="s">
        <v>341</v>
      </c>
      <c r="C113" s="3"/>
      <c r="D113" s="46" t="s">
        <v>12</v>
      </c>
      <c r="E113" s="44" t="s">
        <v>533</v>
      </c>
      <c r="F113" s="47" t="s">
        <v>113</v>
      </c>
      <c r="G113" s="48" t="s">
        <v>177</v>
      </c>
      <c r="H113" s="41">
        <v>1</v>
      </c>
      <c r="I113" s="49" t="s">
        <v>195</v>
      </c>
      <c r="J113" s="39">
        <v>1</v>
      </c>
      <c r="K113" s="40">
        <f>VLOOKUP(E113,照明設備稼働時間!$A$4:$F$20,5,FALSE)</f>
        <v>984</v>
      </c>
      <c r="L113" s="40" t="str">
        <f t="shared" si="2"/>
        <v>FL40W1埋込</v>
      </c>
      <c r="M113" s="40">
        <f>VLOOKUP(L113,照明器具種類!$B$4:$F$89,5,FALSE)</f>
        <v>47</v>
      </c>
      <c r="N113" s="44">
        <v>1</v>
      </c>
      <c r="O113" s="67">
        <f t="shared" si="3"/>
        <v>46.247999999999998</v>
      </c>
    </row>
    <row r="114" spans="1:15">
      <c r="A114" s="44" t="s">
        <v>453</v>
      </c>
      <c r="B114" s="42" t="s">
        <v>341</v>
      </c>
      <c r="C114" s="3"/>
      <c r="D114" s="46" t="s">
        <v>12</v>
      </c>
      <c r="E114" s="44" t="s">
        <v>316</v>
      </c>
      <c r="F114" s="47" t="s">
        <v>114</v>
      </c>
      <c r="G114" s="48" t="s">
        <v>177</v>
      </c>
      <c r="H114" s="41">
        <v>1</v>
      </c>
      <c r="I114" s="49" t="s">
        <v>195</v>
      </c>
      <c r="J114" s="39">
        <v>1</v>
      </c>
      <c r="K114" s="40">
        <f>VLOOKUP(E114,照明設備稼働時間!$A$4:$F$20,5,FALSE)</f>
        <v>1968</v>
      </c>
      <c r="L114" s="40" t="str">
        <f t="shared" si="2"/>
        <v>FL40W1埋込</v>
      </c>
      <c r="M114" s="40">
        <f>VLOOKUP(L114,照明器具種類!$B$4:$F$89,5,FALSE)</f>
        <v>47</v>
      </c>
      <c r="N114" s="44">
        <v>1</v>
      </c>
      <c r="O114" s="67">
        <f t="shared" si="3"/>
        <v>92.495999999999995</v>
      </c>
    </row>
    <row r="115" spans="1:15">
      <c r="A115" s="44" t="s">
        <v>454</v>
      </c>
      <c r="B115" s="42" t="s">
        <v>341</v>
      </c>
      <c r="C115" s="3"/>
      <c r="D115" s="46" t="s">
        <v>12</v>
      </c>
      <c r="E115" s="44" t="s">
        <v>316</v>
      </c>
      <c r="F115" s="47" t="s">
        <v>115</v>
      </c>
      <c r="G115" s="48" t="s">
        <v>177</v>
      </c>
      <c r="H115" s="41">
        <v>2</v>
      </c>
      <c r="I115" s="49" t="s">
        <v>206</v>
      </c>
      <c r="J115" s="39">
        <v>1</v>
      </c>
      <c r="K115" s="40">
        <f>VLOOKUP(E115,照明設備稼働時間!$A$4:$F$20,5,FALSE)</f>
        <v>1968</v>
      </c>
      <c r="L115" s="40" t="str">
        <f t="shared" si="2"/>
        <v>FL40W2逆富士</v>
      </c>
      <c r="M115" s="40">
        <f>VLOOKUP(L115,照明器具種類!$B$4:$F$89,5,FALSE)</f>
        <v>94</v>
      </c>
      <c r="N115" s="44">
        <v>1</v>
      </c>
      <c r="O115" s="67">
        <f t="shared" si="3"/>
        <v>184.99199999999999</v>
      </c>
    </row>
    <row r="116" spans="1:15">
      <c r="A116" s="44" t="s">
        <v>455</v>
      </c>
      <c r="B116" s="42" t="s">
        <v>341</v>
      </c>
      <c r="C116" s="3"/>
      <c r="D116" s="46" t="s">
        <v>12</v>
      </c>
      <c r="E116" s="44" t="s">
        <v>316</v>
      </c>
      <c r="F116" s="47" t="s">
        <v>115</v>
      </c>
      <c r="G116" s="48" t="s">
        <v>177</v>
      </c>
      <c r="H116" s="41">
        <v>1</v>
      </c>
      <c r="I116" s="49" t="s">
        <v>161</v>
      </c>
      <c r="J116" s="39">
        <v>1</v>
      </c>
      <c r="K116" s="40">
        <f>VLOOKUP(E116,照明設備稼働時間!$A$4:$F$20,5,FALSE)</f>
        <v>1968</v>
      </c>
      <c r="L116" s="40" t="str">
        <f t="shared" si="2"/>
        <v>FL40W1ブラケット</v>
      </c>
      <c r="M116" s="40">
        <f>VLOOKUP(L116,照明器具種類!$B$4:$F$89,5,FALSE)</f>
        <v>47</v>
      </c>
      <c r="N116" s="44">
        <v>1</v>
      </c>
      <c r="O116" s="67">
        <f t="shared" si="3"/>
        <v>92.495999999999995</v>
      </c>
    </row>
    <row r="117" spans="1:15">
      <c r="A117" s="44" t="s">
        <v>456</v>
      </c>
      <c r="B117" s="42" t="s">
        <v>341</v>
      </c>
      <c r="C117" s="3"/>
      <c r="D117" s="46" t="s">
        <v>12</v>
      </c>
      <c r="E117" s="44" t="s">
        <v>316</v>
      </c>
      <c r="F117" s="47" t="s">
        <v>116</v>
      </c>
      <c r="G117" s="48" t="s">
        <v>177</v>
      </c>
      <c r="H117" s="41">
        <v>1</v>
      </c>
      <c r="I117" s="49" t="s">
        <v>196</v>
      </c>
      <c r="J117" s="39">
        <v>4</v>
      </c>
      <c r="K117" s="40">
        <f>VLOOKUP(E117,照明設備稼働時間!$A$4:$F$20,5,FALSE)</f>
        <v>1968</v>
      </c>
      <c r="L117" s="40" t="str">
        <f t="shared" si="2"/>
        <v>FL40W1埋込　SUS</v>
      </c>
      <c r="M117" s="40">
        <f>VLOOKUP(L117,照明器具種類!$B$4:$F$89,5,FALSE)</f>
        <v>47</v>
      </c>
      <c r="N117" s="44">
        <v>1</v>
      </c>
      <c r="O117" s="67">
        <f t="shared" si="3"/>
        <v>369.98399999999998</v>
      </c>
    </row>
    <row r="118" spans="1:15">
      <c r="A118" s="44" t="s">
        <v>457</v>
      </c>
      <c r="B118" s="42" t="s">
        <v>341</v>
      </c>
      <c r="C118" s="3"/>
      <c r="D118" s="46" t="s">
        <v>12</v>
      </c>
      <c r="E118" s="44" t="s">
        <v>316</v>
      </c>
      <c r="F118" s="47" t="s">
        <v>116</v>
      </c>
      <c r="G118" s="48" t="s">
        <v>177</v>
      </c>
      <c r="H118" s="41">
        <v>2</v>
      </c>
      <c r="I118" s="49" t="s">
        <v>176</v>
      </c>
      <c r="J118" s="39">
        <v>1</v>
      </c>
      <c r="K118" s="40">
        <f>VLOOKUP(E118,照明設備稼働時間!$A$4:$F$20,5,FALSE)</f>
        <v>1968</v>
      </c>
      <c r="L118" s="40" t="str">
        <f t="shared" si="2"/>
        <v>FL40W2逆富士</v>
      </c>
      <c r="M118" s="40">
        <f>VLOOKUP(L118,照明器具種類!$B$4:$F$89,5,FALSE)</f>
        <v>94</v>
      </c>
      <c r="N118" s="44">
        <v>1</v>
      </c>
      <c r="O118" s="67">
        <f t="shared" si="3"/>
        <v>184.99199999999999</v>
      </c>
    </row>
    <row r="119" spans="1:15">
      <c r="A119" s="44" t="s">
        <v>458</v>
      </c>
      <c r="B119" s="42" t="s">
        <v>341</v>
      </c>
      <c r="C119" s="3"/>
      <c r="D119" s="46" t="s">
        <v>12</v>
      </c>
      <c r="E119" s="44" t="s">
        <v>316</v>
      </c>
      <c r="F119" s="47" t="s">
        <v>116</v>
      </c>
      <c r="G119" s="48" t="s">
        <v>177</v>
      </c>
      <c r="H119" s="41">
        <v>1</v>
      </c>
      <c r="I119" s="49" t="s">
        <v>161</v>
      </c>
      <c r="J119" s="39">
        <v>1</v>
      </c>
      <c r="K119" s="40">
        <f>VLOOKUP(E119,照明設備稼働時間!$A$4:$F$20,5,FALSE)</f>
        <v>1968</v>
      </c>
      <c r="L119" s="40" t="str">
        <f t="shared" si="2"/>
        <v>FL40W1ブラケット</v>
      </c>
      <c r="M119" s="40">
        <f>VLOOKUP(L119,照明器具種類!$B$4:$F$89,5,FALSE)</f>
        <v>47</v>
      </c>
      <c r="N119" s="44">
        <v>1</v>
      </c>
      <c r="O119" s="67">
        <f t="shared" si="3"/>
        <v>92.495999999999995</v>
      </c>
    </row>
    <row r="120" spans="1:15">
      <c r="A120" s="44" t="s">
        <v>459</v>
      </c>
      <c r="B120" s="42" t="s">
        <v>341</v>
      </c>
      <c r="C120" s="3"/>
      <c r="D120" s="46" t="s">
        <v>12</v>
      </c>
      <c r="E120" s="44" t="s">
        <v>525</v>
      </c>
      <c r="F120" s="47" t="s">
        <v>117</v>
      </c>
      <c r="G120" s="48" t="s">
        <v>172</v>
      </c>
      <c r="H120" s="41">
        <v>1</v>
      </c>
      <c r="I120" s="49" t="s">
        <v>118</v>
      </c>
      <c r="J120" s="39">
        <v>3</v>
      </c>
      <c r="K120" s="40">
        <f>VLOOKUP(E120,照明設備稼働時間!$A$4:$F$20,5,FALSE)</f>
        <v>3772</v>
      </c>
      <c r="L120" s="40" t="str">
        <f t="shared" si="2"/>
        <v>IL40W1コップ灯</v>
      </c>
      <c r="M120" s="40">
        <f>VLOOKUP(L120,照明器具種類!$B$4:$F$89,5,FALSE)</f>
        <v>47</v>
      </c>
      <c r="N120" s="44">
        <v>1</v>
      </c>
      <c r="O120" s="67">
        <f t="shared" si="3"/>
        <v>531.85199999999998</v>
      </c>
    </row>
    <row r="121" spans="1:15">
      <c r="A121" s="44" t="s">
        <v>460</v>
      </c>
      <c r="B121" s="42" t="s">
        <v>341</v>
      </c>
      <c r="C121" s="3" t="s">
        <v>91</v>
      </c>
      <c r="D121" s="46" t="s">
        <v>12</v>
      </c>
      <c r="E121" s="44" t="s">
        <v>320</v>
      </c>
      <c r="F121" s="47" t="s">
        <v>19</v>
      </c>
      <c r="G121" s="48" t="s">
        <v>177</v>
      </c>
      <c r="H121" s="41">
        <v>1</v>
      </c>
      <c r="I121" s="49" t="s">
        <v>185</v>
      </c>
      <c r="J121" s="39">
        <v>1</v>
      </c>
      <c r="K121" s="40">
        <f>VLOOKUP(E121,照明設備稼働時間!$A$4:$F$20,5,FALSE)</f>
        <v>362</v>
      </c>
      <c r="L121" s="40" t="str">
        <f t="shared" si="2"/>
        <v>FL40W1片反射笠付</v>
      </c>
      <c r="M121" s="40">
        <f>VLOOKUP(L121,照明器具種類!$B$4:$F$89,5,FALSE)</f>
        <v>47</v>
      </c>
      <c r="N121" s="44">
        <v>1</v>
      </c>
      <c r="O121" s="67">
        <f t="shared" si="3"/>
        <v>17.013999999999999</v>
      </c>
    </row>
    <row r="122" spans="1:15">
      <c r="A122" s="44" t="s">
        <v>461</v>
      </c>
      <c r="B122" s="42" t="s">
        <v>341</v>
      </c>
      <c r="C122" s="3" t="s">
        <v>64</v>
      </c>
      <c r="D122" s="46" t="s">
        <v>12</v>
      </c>
      <c r="E122" s="44" t="s">
        <v>315</v>
      </c>
      <c r="F122" s="47" t="s">
        <v>68</v>
      </c>
      <c r="G122" s="48" t="s">
        <v>177</v>
      </c>
      <c r="H122" s="41">
        <v>2</v>
      </c>
      <c r="I122" s="49" t="s">
        <v>189</v>
      </c>
      <c r="J122" s="39">
        <v>14</v>
      </c>
      <c r="K122" s="40">
        <f>VLOOKUP(E122,照明設備稼働時間!$A$4:$F$20,5,FALSE)</f>
        <v>3772</v>
      </c>
      <c r="L122" s="40" t="str">
        <f t="shared" si="2"/>
        <v>FL40W2シーリング　WP　SUS</v>
      </c>
      <c r="M122" s="40">
        <f>VLOOKUP(L122,照明器具種類!$B$4:$F$89,5,FALSE)</f>
        <v>94</v>
      </c>
      <c r="N122" s="44">
        <v>1</v>
      </c>
      <c r="O122" s="67">
        <f t="shared" si="3"/>
        <v>4963.9520000000002</v>
      </c>
    </row>
    <row r="123" spans="1:15">
      <c r="A123" s="44" t="s">
        <v>462</v>
      </c>
      <c r="B123" s="42" t="s">
        <v>341</v>
      </c>
      <c r="C123" s="3"/>
      <c r="D123" s="46" t="s">
        <v>12</v>
      </c>
      <c r="E123" s="44" t="s">
        <v>315</v>
      </c>
      <c r="F123" s="47" t="s">
        <v>208</v>
      </c>
      <c r="G123" s="48" t="s">
        <v>245</v>
      </c>
      <c r="H123" s="41">
        <v>1</v>
      </c>
      <c r="I123" s="49" t="s">
        <v>246</v>
      </c>
      <c r="J123" s="39">
        <v>2</v>
      </c>
      <c r="K123" s="40">
        <f>VLOOKUP(E123,照明設備稼働時間!$A$4:$F$20,5,FALSE)</f>
        <v>3772</v>
      </c>
      <c r="L123" s="40" t="str">
        <f t="shared" si="2"/>
        <v>LW36W1ブラケット</v>
      </c>
      <c r="M123" s="40">
        <f>VLOOKUP(L123,照明器具種類!$B$4:$F$89,5,FALSE)</f>
        <v>36</v>
      </c>
      <c r="N123" s="44">
        <v>1</v>
      </c>
      <c r="O123" s="67">
        <f t="shared" si="3"/>
        <v>271.584</v>
      </c>
    </row>
    <row r="124" spans="1:15">
      <c r="A124" s="44" t="s">
        <v>463</v>
      </c>
      <c r="B124" s="42" t="s">
        <v>341</v>
      </c>
      <c r="C124" s="3" t="s">
        <v>119</v>
      </c>
      <c r="D124" s="46" t="s">
        <v>12</v>
      </c>
      <c r="E124" s="44" t="s">
        <v>315</v>
      </c>
      <c r="F124" s="47" t="s">
        <v>51</v>
      </c>
      <c r="G124" s="48" t="s">
        <v>175</v>
      </c>
      <c r="H124" s="41">
        <v>2</v>
      </c>
      <c r="I124" s="49" t="s">
        <v>186</v>
      </c>
      <c r="J124" s="39">
        <v>5</v>
      </c>
      <c r="K124" s="40">
        <f>VLOOKUP(E124,照明設備稼働時間!$A$4:$F$20,5,FALSE)</f>
        <v>3772</v>
      </c>
      <c r="L124" s="40" t="str">
        <f t="shared" si="2"/>
        <v>FL20W＋IL40W2埋込</v>
      </c>
      <c r="M124" s="40">
        <f>VLOOKUP(L124,照明器具種類!$B$4:$F$89,5,FALSE)</f>
        <v>44</v>
      </c>
      <c r="N124" s="44">
        <v>1</v>
      </c>
      <c r="O124" s="67">
        <f t="shared" si="3"/>
        <v>829.84</v>
      </c>
    </row>
    <row r="125" spans="1:15">
      <c r="A125" s="44" t="s">
        <v>464</v>
      </c>
      <c r="B125" s="42" t="s">
        <v>341</v>
      </c>
      <c r="C125" s="3" t="s">
        <v>44</v>
      </c>
      <c r="D125" s="46" t="s">
        <v>12</v>
      </c>
      <c r="E125" s="44" t="s">
        <v>315</v>
      </c>
      <c r="F125" s="47" t="s">
        <v>120</v>
      </c>
      <c r="G125" s="48" t="s">
        <v>178</v>
      </c>
      <c r="H125" s="41">
        <v>2</v>
      </c>
      <c r="I125" s="49" t="s">
        <v>176</v>
      </c>
      <c r="J125" s="39">
        <v>1</v>
      </c>
      <c r="K125" s="40">
        <f>VLOOKUP(E125,照明設備稼働時間!$A$4:$F$20,5,FALSE)</f>
        <v>3772</v>
      </c>
      <c r="L125" s="40" t="str">
        <f t="shared" si="2"/>
        <v>FL20W2逆富士</v>
      </c>
      <c r="M125" s="40">
        <f>VLOOKUP(L125,照明器具種類!$B$4:$F$89,5,FALSE)</f>
        <v>44</v>
      </c>
      <c r="N125" s="44">
        <v>1</v>
      </c>
      <c r="O125" s="67">
        <f t="shared" si="3"/>
        <v>165.96799999999999</v>
      </c>
    </row>
    <row r="126" spans="1:15">
      <c r="A126" s="44" t="s">
        <v>465</v>
      </c>
      <c r="B126" s="42" t="s">
        <v>341</v>
      </c>
      <c r="C126" s="3" t="s">
        <v>106</v>
      </c>
      <c r="D126" s="46" t="s">
        <v>12</v>
      </c>
      <c r="E126" s="44" t="s">
        <v>320</v>
      </c>
      <c r="F126" s="47" t="s">
        <v>111</v>
      </c>
      <c r="G126" s="48" t="s">
        <v>138</v>
      </c>
      <c r="H126" s="41">
        <v>1</v>
      </c>
      <c r="I126" s="49" t="s">
        <v>96</v>
      </c>
      <c r="J126" s="39">
        <v>3</v>
      </c>
      <c r="K126" s="40">
        <f>VLOOKUP(E126,照明設備稼働時間!$A$4:$F$20,5,FALSE)</f>
        <v>362</v>
      </c>
      <c r="L126" s="40" t="str">
        <f t="shared" si="2"/>
        <v>LW110V40W1コップ灯</v>
      </c>
      <c r="M126" s="40">
        <f>VLOOKUP(L126,照明器具種類!$B$4:$F$89,5,FALSE)</f>
        <v>40</v>
      </c>
      <c r="N126" s="44">
        <v>1</v>
      </c>
      <c r="O126" s="67">
        <f t="shared" si="3"/>
        <v>43.44</v>
      </c>
    </row>
    <row r="127" spans="1:15">
      <c r="A127" s="44" t="s">
        <v>466</v>
      </c>
      <c r="B127" s="42" t="s">
        <v>341</v>
      </c>
      <c r="C127" s="3" t="s">
        <v>121</v>
      </c>
      <c r="D127" s="46" t="s">
        <v>12</v>
      </c>
      <c r="E127" s="44" t="s">
        <v>314</v>
      </c>
      <c r="F127" s="47" t="s">
        <v>122</v>
      </c>
      <c r="G127" s="48" t="s">
        <v>177</v>
      </c>
      <c r="H127" s="41">
        <v>1</v>
      </c>
      <c r="I127" s="49" t="s">
        <v>197</v>
      </c>
      <c r="J127" s="39">
        <v>4</v>
      </c>
      <c r="K127" s="40">
        <f>VLOOKUP(E127,照明設備稼働時間!$A$4:$F$20,5,FALSE)</f>
        <v>4706</v>
      </c>
      <c r="L127" s="40" t="str">
        <f t="shared" si="2"/>
        <v>FL40W1埋込　プリズム</v>
      </c>
      <c r="M127" s="40">
        <f>VLOOKUP(L127,照明器具種類!$B$4:$F$89,5,FALSE)</f>
        <v>47</v>
      </c>
      <c r="N127" s="44">
        <v>1</v>
      </c>
      <c r="O127" s="67">
        <f t="shared" si="3"/>
        <v>884.72799999999995</v>
      </c>
    </row>
    <row r="128" spans="1:15">
      <c r="A128" s="44" t="s">
        <v>467</v>
      </c>
      <c r="B128" s="42" t="s">
        <v>341</v>
      </c>
      <c r="C128" s="3"/>
      <c r="D128" s="46" t="s">
        <v>12</v>
      </c>
      <c r="E128" s="44" t="s">
        <v>316</v>
      </c>
      <c r="F128" s="47" t="s">
        <v>123</v>
      </c>
      <c r="G128" s="48" t="s">
        <v>177</v>
      </c>
      <c r="H128" s="41">
        <v>1</v>
      </c>
      <c r="I128" s="49" t="s">
        <v>196</v>
      </c>
      <c r="J128" s="39">
        <v>4</v>
      </c>
      <c r="K128" s="40">
        <f>VLOOKUP(E128,照明設備稼働時間!$A$4:$F$20,5,FALSE)</f>
        <v>1968</v>
      </c>
      <c r="L128" s="40" t="str">
        <f t="shared" si="2"/>
        <v>FL40W1埋込　SUS</v>
      </c>
      <c r="M128" s="40">
        <f>VLOOKUP(L128,照明器具種類!$B$4:$F$89,5,FALSE)</f>
        <v>47</v>
      </c>
      <c r="N128" s="44">
        <v>1</v>
      </c>
      <c r="O128" s="67">
        <f t="shared" si="3"/>
        <v>369.98399999999998</v>
      </c>
    </row>
    <row r="129" spans="1:15">
      <c r="A129" s="44" t="s">
        <v>468</v>
      </c>
      <c r="B129" s="42" t="s">
        <v>341</v>
      </c>
      <c r="C129" s="3"/>
      <c r="D129" s="46" t="s">
        <v>41</v>
      </c>
      <c r="E129" s="44" t="s">
        <v>316</v>
      </c>
      <c r="F129" s="47" t="s">
        <v>123</v>
      </c>
      <c r="G129" s="48" t="s">
        <v>177</v>
      </c>
      <c r="H129" s="41">
        <v>2</v>
      </c>
      <c r="I129" s="49" t="s">
        <v>176</v>
      </c>
      <c r="J129" s="39">
        <v>1</v>
      </c>
      <c r="K129" s="40">
        <f>VLOOKUP(E129,照明設備稼働時間!$A$4:$F$20,5,FALSE)</f>
        <v>1968</v>
      </c>
      <c r="L129" s="40" t="str">
        <f t="shared" si="2"/>
        <v>FL40W2逆富士</v>
      </c>
      <c r="M129" s="40">
        <f>VLOOKUP(L129,照明器具種類!$B$4:$F$89,5,FALSE)</f>
        <v>94</v>
      </c>
      <c r="N129" s="44">
        <v>1</v>
      </c>
      <c r="O129" s="67">
        <f t="shared" si="3"/>
        <v>184.99199999999999</v>
      </c>
    </row>
    <row r="130" spans="1:15">
      <c r="A130" s="44" t="s">
        <v>469</v>
      </c>
      <c r="B130" s="42" t="s">
        <v>341</v>
      </c>
      <c r="C130" s="3"/>
      <c r="D130" s="46" t="s">
        <v>41</v>
      </c>
      <c r="E130" s="44" t="s">
        <v>316</v>
      </c>
      <c r="F130" s="47" t="s">
        <v>123</v>
      </c>
      <c r="G130" s="48" t="s">
        <v>177</v>
      </c>
      <c r="H130" s="41">
        <v>1</v>
      </c>
      <c r="I130" s="49" t="s">
        <v>161</v>
      </c>
      <c r="J130" s="39">
        <v>1</v>
      </c>
      <c r="K130" s="40">
        <f>VLOOKUP(E130,照明設備稼働時間!$A$4:$F$20,5,FALSE)</f>
        <v>1968</v>
      </c>
      <c r="L130" s="40" t="str">
        <f t="shared" si="2"/>
        <v>FL40W1ブラケット</v>
      </c>
      <c r="M130" s="40">
        <f>VLOOKUP(L130,照明器具種類!$B$4:$F$89,5,FALSE)</f>
        <v>47</v>
      </c>
      <c r="N130" s="44">
        <v>1</v>
      </c>
      <c r="O130" s="67">
        <f t="shared" si="3"/>
        <v>92.495999999999995</v>
      </c>
    </row>
    <row r="131" spans="1:15">
      <c r="A131" s="44" t="s">
        <v>470</v>
      </c>
      <c r="B131" s="42" t="s">
        <v>341</v>
      </c>
      <c r="C131" s="3"/>
      <c r="D131" s="46" t="s">
        <v>12</v>
      </c>
      <c r="E131" s="44" t="s">
        <v>525</v>
      </c>
      <c r="F131" s="47" t="s">
        <v>124</v>
      </c>
      <c r="G131" s="48" t="s">
        <v>172</v>
      </c>
      <c r="H131" s="41">
        <v>1</v>
      </c>
      <c r="I131" s="49" t="s">
        <v>118</v>
      </c>
      <c r="J131" s="39">
        <v>3</v>
      </c>
      <c r="K131" s="40">
        <f>VLOOKUP(E131,照明設備稼働時間!$A$4:$F$20,5,FALSE)</f>
        <v>3772</v>
      </c>
      <c r="L131" s="40" t="str">
        <f t="shared" si="2"/>
        <v>IL40W1コップ灯</v>
      </c>
      <c r="M131" s="40">
        <f>VLOOKUP(L131,照明器具種類!$B$4:$F$89,5,FALSE)</f>
        <v>47</v>
      </c>
      <c r="N131" s="44">
        <v>1</v>
      </c>
      <c r="O131" s="67">
        <f t="shared" si="3"/>
        <v>531.85199999999998</v>
      </c>
    </row>
    <row r="132" spans="1:15">
      <c r="A132" s="44" t="s">
        <v>471</v>
      </c>
      <c r="B132" s="42" t="s">
        <v>341</v>
      </c>
      <c r="C132" s="3" t="s">
        <v>125</v>
      </c>
      <c r="D132" s="46" t="s">
        <v>12</v>
      </c>
      <c r="E132" s="44" t="s">
        <v>315</v>
      </c>
      <c r="F132" s="47" t="s">
        <v>126</v>
      </c>
      <c r="G132" s="48" t="s">
        <v>177</v>
      </c>
      <c r="H132" s="41">
        <v>2</v>
      </c>
      <c r="I132" s="49" t="s">
        <v>176</v>
      </c>
      <c r="J132" s="39">
        <v>5</v>
      </c>
      <c r="K132" s="40">
        <f>VLOOKUP(E132,照明設備稼働時間!$A$4:$F$20,5,FALSE)</f>
        <v>3772</v>
      </c>
      <c r="L132" s="40" t="str">
        <f t="shared" si="2"/>
        <v>FL40W2逆富士</v>
      </c>
      <c r="M132" s="40">
        <f>VLOOKUP(L132,照明器具種類!$B$4:$F$89,5,FALSE)</f>
        <v>94</v>
      </c>
      <c r="N132" s="44">
        <v>1</v>
      </c>
      <c r="O132" s="67">
        <f t="shared" si="3"/>
        <v>1772.84</v>
      </c>
    </row>
    <row r="133" spans="1:15">
      <c r="A133" s="44" t="s">
        <v>472</v>
      </c>
      <c r="B133" s="42" t="s">
        <v>341</v>
      </c>
      <c r="C133" s="3" t="s">
        <v>127</v>
      </c>
      <c r="D133" s="46" t="s">
        <v>12</v>
      </c>
      <c r="E133" s="44" t="s">
        <v>315</v>
      </c>
      <c r="F133" s="47" t="s">
        <v>126</v>
      </c>
      <c r="G133" s="48" t="s">
        <v>177</v>
      </c>
      <c r="H133" s="41">
        <v>2</v>
      </c>
      <c r="I133" s="49" t="s">
        <v>176</v>
      </c>
      <c r="J133" s="39">
        <v>1</v>
      </c>
      <c r="K133" s="40">
        <f>VLOOKUP(E133,照明設備稼働時間!$A$4:$F$20,5,FALSE)</f>
        <v>3772</v>
      </c>
      <c r="L133" s="40" t="str">
        <f t="shared" ref="L133:L173" si="4">G133&amp;H133&amp;I133</f>
        <v>FL40W2逆富士</v>
      </c>
      <c r="M133" s="40">
        <f>VLOOKUP(L133,照明器具種類!$B$4:$F$89,5,FALSE)</f>
        <v>94</v>
      </c>
      <c r="N133" s="44">
        <v>1</v>
      </c>
      <c r="O133" s="67">
        <f t="shared" ref="O133:O173" si="5">(J133*K133*M133*N133)/1000</f>
        <v>354.56799999999998</v>
      </c>
    </row>
    <row r="134" spans="1:15">
      <c r="A134" s="44" t="s">
        <v>473</v>
      </c>
      <c r="B134" s="42" t="s">
        <v>341</v>
      </c>
      <c r="C134" s="3" t="s">
        <v>128</v>
      </c>
      <c r="D134" s="46" t="s">
        <v>12</v>
      </c>
      <c r="E134" s="44" t="s">
        <v>320</v>
      </c>
      <c r="F134" s="47" t="s">
        <v>129</v>
      </c>
      <c r="G134" s="48" t="s">
        <v>177</v>
      </c>
      <c r="H134" s="41">
        <v>1</v>
      </c>
      <c r="I134" s="49" t="s">
        <v>176</v>
      </c>
      <c r="J134" s="39">
        <v>3</v>
      </c>
      <c r="K134" s="40">
        <f>VLOOKUP(E134,照明設備稼働時間!$A$4:$F$20,5,FALSE)</f>
        <v>362</v>
      </c>
      <c r="L134" s="40" t="str">
        <f t="shared" si="4"/>
        <v>FL40W1逆富士</v>
      </c>
      <c r="M134" s="40">
        <f>VLOOKUP(L134,照明器具種類!$B$4:$F$89,5,FALSE)</f>
        <v>47</v>
      </c>
      <c r="N134" s="44">
        <v>1</v>
      </c>
      <c r="O134" s="67">
        <f t="shared" si="5"/>
        <v>51.042000000000002</v>
      </c>
    </row>
    <row r="135" spans="1:15">
      <c r="A135" s="44" t="s">
        <v>474</v>
      </c>
      <c r="B135" s="42" t="s">
        <v>341</v>
      </c>
      <c r="C135" s="3" t="s">
        <v>90</v>
      </c>
      <c r="D135" s="46" t="s">
        <v>12</v>
      </c>
      <c r="E135" s="44" t="s">
        <v>320</v>
      </c>
      <c r="F135" s="47" t="s">
        <v>130</v>
      </c>
      <c r="G135" s="48" t="s">
        <v>177</v>
      </c>
      <c r="H135" s="41">
        <v>1</v>
      </c>
      <c r="I135" s="49" t="s">
        <v>176</v>
      </c>
      <c r="J135" s="39">
        <v>8</v>
      </c>
      <c r="K135" s="40">
        <f>VLOOKUP(E135,照明設備稼働時間!$A$4:$F$20,5,FALSE)</f>
        <v>362</v>
      </c>
      <c r="L135" s="40" t="str">
        <f t="shared" si="4"/>
        <v>FL40W1逆富士</v>
      </c>
      <c r="M135" s="40">
        <f>VLOOKUP(L135,照明器具種類!$B$4:$F$89,5,FALSE)</f>
        <v>47</v>
      </c>
      <c r="N135" s="44">
        <v>1</v>
      </c>
      <c r="O135" s="67">
        <f t="shared" si="5"/>
        <v>136.11199999999999</v>
      </c>
    </row>
    <row r="136" spans="1:15">
      <c r="A136" s="44" t="s">
        <v>475</v>
      </c>
      <c r="B136" s="42" t="s">
        <v>341</v>
      </c>
      <c r="C136" s="3" t="s">
        <v>33</v>
      </c>
      <c r="D136" s="46" t="s">
        <v>25</v>
      </c>
      <c r="E136" s="44" t="s">
        <v>315</v>
      </c>
      <c r="F136" s="47" t="s">
        <v>26</v>
      </c>
      <c r="G136" s="48" t="s">
        <v>139</v>
      </c>
      <c r="H136" s="41">
        <v>1</v>
      </c>
      <c r="I136" s="49" t="s">
        <v>188</v>
      </c>
      <c r="J136" s="39">
        <v>20</v>
      </c>
      <c r="K136" s="40">
        <f>VLOOKUP(E136,照明設備稼働時間!$A$4:$F$20,5,FALSE)</f>
        <v>3772</v>
      </c>
      <c r="L136" s="40" t="str">
        <f t="shared" si="4"/>
        <v>EFG15EN13 1ダウンライト</v>
      </c>
      <c r="M136" s="40">
        <f>VLOOKUP(L136,照明器具種類!$B$4:$F$89,5,FALSE)</f>
        <v>13</v>
      </c>
      <c r="N136" s="44">
        <v>1</v>
      </c>
      <c r="O136" s="67">
        <f t="shared" si="5"/>
        <v>980.72</v>
      </c>
    </row>
    <row r="137" spans="1:15">
      <c r="A137" s="44" t="s">
        <v>476</v>
      </c>
      <c r="B137" s="42" t="s">
        <v>345</v>
      </c>
      <c r="C137" s="3" t="s">
        <v>33</v>
      </c>
      <c r="D137" s="46" t="s">
        <v>25</v>
      </c>
      <c r="E137" s="44" t="s">
        <v>315</v>
      </c>
      <c r="F137" s="47" t="s">
        <v>26</v>
      </c>
      <c r="G137" s="48" t="s">
        <v>201</v>
      </c>
      <c r="H137" s="41">
        <v>1</v>
      </c>
      <c r="I137" s="49" t="s">
        <v>188</v>
      </c>
      <c r="J137" s="39">
        <v>10</v>
      </c>
      <c r="K137" s="40">
        <f>VLOOKUP(E137,照明設備稼働時間!$A$4:$F$20,5,FALSE)</f>
        <v>3772</v>
      </c>
      <c r="L137" s="40" t="str">
        <f t="shared" si="4"/>
        <v>LED1ダウンライト</v>
      </c>
      <c r="M137" s="40">
        <f>VLOOKUP(L137,照明器具種類!$B$4:$F$89,5,FALSE)</f>
        <v>13</v>
      </c>
      <c r="N137" s="44">
        <v>1</v>
      </c>
      <c r="O137" s="67">
        <f t="shared" si="5"/>
        <v>490.36</v>
      </c>
    </row>
    <row r="138" spans="1:15">
      <c r="A138" s="44" t="s">
        <v>477</v>
      </c>
      <c r="B138" s="42" t="s">
        <v>341</v>
      </c>
      <c r="C138" s="3"/>
      <c r="D138" s="46" t="s">
        <v>67</v>
      </c>
      <c r="E138" s="44" t="s">
        <v>315</v>
      </c>
      <c r="F138" s="47" t="s">
        <v>68</v>
      </c>
      <c r="G138" s="48" t="s">
        <v>11</v>
      </c>
      <c r="H138" s="41">
        <v>1</v>
      </c>
      <c r="I138" s="49" t="s">
        <v>38</v>
      </c>
      <c r="J138" s="39">
        <v>1</v>
      </c>
      <c r="K138" s="40">
        <f>VLOOKUP(E138,照明設備稼働時間!$A$4:$F$20,5,FALSE)</f>
        <v>3772</v>
      </c>
      <c r="L138" s="40" t="str">
        <f t="shared" si="4"/>
        <v>IL60W1ユニバーサルＤＬ</v>
      </c>
      <c r="M138" s="40">
        <f>VLOOKUP(L138,照明器具種類!$B$4:$F$89,5,FALSE)</f>
        <v>60</v>
      </c>
      <c r="N138" s="44">
        <v>1</v>
      </c>
      <c r="O138" s="67">
        <f t="shared" si="5"/>
        <v>226.32</v>
      </c>
    </row>
    <row r="139" spans="1:15">
      <c r="A139" s="44" t="s">
        <v>478</v>
      </c>
      <c r="B139" s="42" t="s">
        <v>341</v>
      </c>
      <c r="C139" s="3" t="s">
        <v>92</v>
      </c>
      <c r="D139" s="46" t="s">
        <v>25</v>
      </c>
      <c r="E139" s="44" t="s">
        <v>315</v>
      </c>
      <c r="F139" s="47" t="s">
        <v>131</v>
      </c>
      <c r="G139" s="48" t="s">
        <v>177</v>
      </c>
      <c r="H139" s="41">
        <v>2</v>
      </c>
      <c r="I139" s="49" t="s">
        <v>186</v>
      </c>
      <c r="J139" s="39">
        <v>2</v>
      </c>
      <c r="K139" s="40">
        <f>VLOOKUP(E139,照明設備稼働時間!$A$4:$F$20,5,FALSE)</f>
        <v>3772</v>
      </c>
      <c r="L139" s="40" t="str">
        <f t="shared" si="4"/>
        <v>FL40W2埋込</v>
      </c>
      <c r="M139" s="40">
        <f>VLOOKUP(L139,照明器具種類!$B$4:$F$89,5,FALSE)</f>
        <v>94</v>
      </c>
      <c r="N139" s="44">
        <v>1</v>
      </c>
      <c r="O139" s="67">
        <f t="shared" si="5"/>
        <v>709.13599999999997</v>
      </c>
    </row>
    <row r="140" spans="1:15">
      <c r="A140" s="44" t="s">
        <v>479</v>
      </c>
      <c r="B140" s="42" t="s">
        <v>341</v>
      </c>
      <c r="C140" s="3" t="s">
        <v>93</v>
      </c>
      <c r="D140" s="46" t="s">
        <v>25</v>
      </c>
      <c r="E140" s="44" t="s">
        <v>315</v>
      </c>
      <c r="F140" s="47" t="s">
        <v>131</v>
      </c>
      <c r="G140" s="48" t="s">
        <v>179</v>
      </c>
      <c r="H140" s="41">
        <v>2</v>
      </c>
      <c r="I140" s="49" t="s">
        <v>186</v>
      </c>
      <c r="J140" s="39">
        <v>1</v>
      </c>
      <c r="K140" s="40">
        <f>VLOOKUP(E140,照明設備稼働時間!$A$4:$F$20,5,FALSE)</f>
        <v>3772</v>
      </c>
      <c r="L140" s="40" t="str">
        <f t="shared" si="4"/>
        <v>FL40W＋IL40W2埋込</v>
      </c>
      <c r="M140" s="40">
        <f>VLOOKUP(L140,照明器具種類!$B$4:$F$89,5,FALSE)</f>
        <v>94</v>
      </c>
      <c r="N140" s="44">
        <v>1</v>
      </c>
      <c r="O140" s="67">
        <f t="shared" si="5"/>
        <v>354.56799999999998</v>
      </c>
    </row>
    <row r="141" spans="1:15">
      <c r="A141" s="44" t="s">
        <v>480</v>
      </c>
      <c r="B141" s="42" t="s">
        <v>341</v>
      </c>
      <c r="C141" s="3" t="s">
        <v>125</v>
      </c>
      <c r="D141" s="46" t="s">
        <v>25</v>
      </c>
      <c r="E141" s="44" t="s">
        <v>315</v>
      </c>
      <c r="F141" s="47" t="s">
        <v>132</v>
      </c>
      <c r="G141" s="48" t="s">
        <v>177</v>
      </c>
      <c r="H141" s="41">
        <v>2</v>
      </c>
      <c r="I141" s="49" t="s">
        <v>176</v>
      </c>
      <c r="J141" s="39">
        <v>5</v>
      </c>
      <c r="K141" s="40">
        <f>VLOOKUP(E141,照明設備稼働時間!$A$4:$F$20,5,FALSE)</f>
        <v>3772</v>
      </c>
      <c r="L141" s="40" t="str">
        <f t="shared" si="4"/>
        <v>FL40W2逆富士</v>
      </c>
      <c r="M141" s="40">
        <f>VLOOKUP(L141,照明器具種類!$B$4:$F$89,5,FALSE)</f>
        <v>94</v>
      </c>
      <c r="N141" s="44">
        <v>1</v>
      </c>
      <c r="O141" s="67">
        <f t="shared" si="5"/>
        <v>1772.84</v>
      </c>
    </row>
    <row r="142" spans="1:15">
      <c r="A142" s="44" t="s">
        <v>481</v>
      </c>
      <c r="B142" s="42" t="s">
        <v>341</v>
      </c>
      <c r="C142" s="3" t="s">
        <v>127</v>
      </c>
      <c r="D142" s="46" t="s">
        <v>25</v>
      </c>
      <c r="E142" s="44" t="s">
        <v>315</v>
      </c>
      <c r="F142" s="47" t="s">
        <v>132</v>
      </c>
      <c r="G142" s="48" t="s">
        <v>179</v>
      </c>
      <c r="H142" s="41">
        <v>2</v>
      </c>
      <c r="I142" s="49" t="s">
        <v>176</v>
      </c>
      <c r="J142" s="39">
        <v>1</v>
      </c>
      <c r="K142" s="40">
        <f>VLOOKUP(E142,照明設備稼働時間!$A$4:$F$20,5,FALSE)</f>
        <v>3772</v>
      </c>
      <c r="L142" s="40" t="str">
        <f t="shared" si="4"/>
        <v>FL40W＋IL40W2逆富士</v>
      </c>
      <c r="M142" s="40">
        <f>VLOOKUP(L142,照明器具種類!$B$4:$F$89,5,FALSE)</f>
        <v>94</v>
      </c>
      <c r="N142" s="44">
        <v>1</v>
      </c>
      <c r="O142" s="67">
        <f t="shared" si="5"/>
        <v>354.56799999999998</v>
      </c>
    </row>
    <row r="143" spans="1:15">
      <c r="A143" s="44" t="s">
        <v>482</v>
      </c>
      <c r="B143" s="42" t="s">
        <v>341</v>
      </c>
      <c r="C143" s="3" t="s">
        <v>90</v>
      </c>
      <c r="D143" s="46" t="s">
        <v>25</v>
      </c>
      <c r="E143" s="44" t="s">
        <v>320</v>
      </c>
      <c r="F143" s="47" t="s">
        <v>133</v>
      </c>
      <c r="G143" s="48" t="s">
        <v>177</v>
      </c>
      <c r="H143" s="41">
        <v>1</v>
      </c>
      <c r="I143" s="49" t="s">
        <v>176</v>
      </c>
      <c r="J143" s="39">
        <v>3</v>
      </c>
      <c r="K143" s="40">
        <f>VLOOKUP(E143,照明設備稼働時間!$A$4:$F$20,5,FALSE)</f>
        <v>362</v>
      </c>
      <c r="L143" s="40" t="str">
        <f t="shared" si="4"/>
        <v>FL40W1逆富士</v>
      </c>
      <c r="M143" s="40">
        <f>VLOOKUP(L143,照明器具種類!$B$4:$F$89,5,FALSE)</f>
        <v>47</v>
      </c>
      <c r="N143" s="44">
        <v>1</v>
      </c>
      <c r="O143" s="67">
        <f t="shared" si="5"/>
        <v>51.042000000000002</v>
      </c>
    </row>
    <row r="144" spans="1:15">
      <c r="A144" s="44" t="s">
        <v>483</v>
      </c>
      <c r="B144" s="42" t="s">
        <v>341</v>
      </c>
      <c r="C144" s="3" t="s">
        <v>134</v>
      </c>
      <c r="D144" s="46" t="s">
        <v>25</v>
      </c>
      <c r="E144" s="44" t="s">
        <v>528</v>
      </c>
      <c r="F144" s="47" t="s">
        <v>135</v>
      </c>
      <c r="G144" s="48" t="s">
        <v>182</v>
      </c>
      <c r="H144" s="41">
        <v>1</v>
      </c>
      <c r="I144" s="49" t="s">
        <v>190</v>
      </c>
      <c r="J144" s="39">
        <v>36</v>
      </c>
      <c r="K144" s="40">
        <f>VLOOKUP(E144,照明設備稼働時間!$A$4:$F$20,5,FALSE)</f>
        <v>4616</v>
      </c>
      <c r="L144" s="40" t="str">
        <f t="shared" si="4"/>
        <v>MF250W1投光器　重耐塩仕様</v>
      </c>
      <c r="M144" s="40">
        <f>VLOOKUP(L144,照明器具種類!$B$4:$F$89,5,FALSE)</f>
        <v>275</v>
      </c>
      <c r="N144" s="44">
        <v>0.8</v>
      </c>
      <c r="O144" s="67">
        <f t="shared" si="5"/>
        <v>36558.720000000001</v>
      </c>
    </row>
    <row r="145" spans="1:15">
      <c r="A145" s="44" t="s">
        <v>484</v>
      </c>
      <c r="B145" s="42" t="s">
        <v>341</v>
      </c>
      <c r="C145" s="3" t="s">
        <v>136</v>
      </c>
      <c r="D145" s="46" t="s">
        <v>25</v>
      </c>
      <c r="E145" s="44" t="s">
        <v>528</v>
      </c>
      <c r="F145" s="47" t="s">
        <v>135</v>
      </c>
      <c r="G145" s="48" t="s">
        <v>183</v>
      </c>
      <c r="H145" s="41">
        <v>1</v>
      </c>
      <c r="I145" s="49" t="s">
        <v>191</v>
      </c>
      <c r="J145" s="39">
        <v>72</v>
      </c>
      <c r="K145" s="40">
        <f>VLOOKUP(E145,照明設備稼働時間!$A$4:$F$20,5,FALSE)</f>
        <v>4616</v>
      </c>
      <c r="L145" s="40" t="str">
        <f t="shared" si="4"/>
        <v>MF1000W1投光器　重耐塩仕様</v>
      </c>
      <c r="M145" s="40">
        <f>VLOOKUP(L145,照明器具種類!$B$4:$F$89,5,FALSE)</f>
        <v>1100</v>
      </c>
      <c r="N145" s="44">
        <v>0.8</v>
      </c>
      <c r="O145" s="67">
        <f t="shared" si="5"/>
        <v>292469.76000000001</v>
      </c>
    </row>
    <row r="146" spans="1:15">
      <c r="A146" s="44" t="s">
        <v>485</v>
      </c>
      <c r="B146" s="42" t="s">
        <v>341</v>
      </c>
      <c r="C146" s="3" t="s">
        <v>137</v>
      </c>
      <c r="D146" s="46" t="s">
        <v>25</v>
      </c>
      <c r="E146" s="44" t="s">
        <v>520</v>
      </c>
      <c r="F146" s="47" t="s">
        <v>167</v>
      </c>
      <c r="G146" s="48" t="s">
        <v>184</v>
      </c>
      <c r="H146" s="41">
        <v>1</v>
      </c>
      <c r="I146" s="49" t="s">
        <v>192</v>
      </c>
      <c r="J146" s="39">
        <v>4</v>
      </c>
      <c r="K146" s="40">
        <f>VLOOKUP(E146,照明設備稼働時間!$A$4:$F$20,5,FALSE)</f>
        <v>724</v>
      </c>
      <c r="L146" s="40" t="str">
        <f t="shared" si="4"/>
        <v>FL40W1逆富士　ＷＰ</v>
      </c>
      <c r="M146" s="40">
        <f>VLOOKUP(L146,照明器具種類!$B$4:$F$89,5,FALSE)</f>
        <v>22</v>
      </c>
      <c r="N146" s="44">
        <v>1</v>
      </c>
      <c r="O146" s="67">
        <f t="shared" si="5"/>
        <v>63.712000000000003</v>
      </c>
    </row>
    <row r="147" spans="1:15">
      <c r="A147" s="44" t="s">
        <v>486</v>
      </c>
      <c r="B147" s="42" t="s">
        <v>341</v>
      </c>
      <c r="C147" s="3" t="s">
        <v>140</v>
      </c>
      <c r="D147" s="46" t="s">
        <v>513</v>
      </c>
      <c r="E147" s="44" t="s">
        <v>9</v>
      </c>
      <c r="F147" s="47" t="s">
        <v>15</v>
      </c>
      <c r="G147" s="48" t="s">
        <v>178</v>
      </c>
      <c r="H147" s="41">
        <v>1</v>
      </c>
      <c r="I147" s="49" t="s">
        <v>209</v>
      </c>
      <c r="J147" s="39">
        <v>2</v>
      </c>
      <c r="K147" s="40">
        <f>VLOOKUP(E147,照明設備稼働時間!$A$4:$F$20,5,FALSE)</f>
        <v>8760</v>
      </c>
      <c r="L147" s="40" t="str">
        <f t="shared" si="4"/>
        <v>FL20W1避難口誘導灯B級BL型（直管型）</v>
      </c>
      <c r="M147" s="40">
        <f>VLOOKUP(L147,照明器具種類!$B$4:$F$89,5,FALSE)</f>
        <v>26</v>
      </c>
      <c r="N147" s="44">
        <v>1</v>
      </c>
      <c r="O147" s="67">
        <f t="shared" si="5"/>
        <v>455.52</v>
      </c>
    </row>
    <row r="148" spans="1:15">
      <c r="A148" s="44" t="s">
        <v>487</v>
      </c>
      <c r="B148" s="42" t="s">
        <v>341</v>
      </c>
      <c r="C148" s="3" t="s">
        <v>141</v>
      </c>
      <c r="D148" s="46" t="s">
        <v>513</v>
      </c>
      <c r="E148" s="44" t="s">
        <v>9</v>
      </c>
      <c r="F148" s="47" t="s">
        <v>102</v>
      </c>
      <c r="G148" s="48" t="s">
        <v>178</v>
      </c>
      <c r="H148" s="41">
        <v>1</v>
      </c>
      <c r="I148" s="49" t="s">
        <v>209</v>
      </c>
      <c r="J148" s="39">
        <v>1</v>
      </c>
      <c r="K148" s="40">
        <f>VLOOKUP(E148,照明設備稼働時間!$A$4:$F$20,5,FALSE)</f>
        <v>8760</v>
      </c>
      <c r="L148" s="40" t="str">
        <f t="shared" si="4"/>
        <v>FL20W1避難口誘導灯B級BL型（直管型）</v>
      </c>
      <c r="M148" s="40">
        <f>VLOOKUP(L148,照明器具種類!$B$4:$F$89,5,FALSE)</f>
        <v>26</v>
      </c>
      <c r="N148" s="44">
        <v>1</v>
      </c>
      <c r="O148" s="67">
        <f t="shared" si="5"/>
        <v>227.76</v>
      </c>
    </row>
    <row r="149" spans="1:15">
      <c r="A149" s="44" t="s">
        <v>488</v>
      </c>
      <c r="B149" s="42" t="s">
        <v>341</v>
      </c>
      <c r="C149" s="3" t="s">
        <v>142</v>
      </c>
      <c r="D149" s="46" t="s">
        <v>137</v>
      </c>
      <c r="E149" s="44" t="s">
        <v>9</v>
      </c>
      <c r="F149" s="47" t="s">
        <v>104</v>
      </c>
      <c r="G149" s="48" t="s">
        <v>22</v>
      </c>
      <c r="H149" s="41">
        <v>1</v>
      </c>
      <c r="I149" s="49" t="s">
        <v>212</v>
      </c>
      <c r="J149" s="39">
        <v>1</v>
      </c>
      <c r="K149" s="40">
        <f>VLOOKUP(E149,照明設備稼働時間!$A$4:$F$20,5,FALSE)</f>
        <v>8760</v>
      </c>
      <c r="L149" s="40" t="str">
        <f t="shared" si="4"/>
        <v>FL10W1通路誘導灯C級（直管型）</v>
      </c>
      <c r="M149" s="40">
        <f>VLOOKUP(L149,照明器具種類!$B$4:$F$89,5,FALSE)</f>
        <v>15</v>
      </c>
      <c r="N149" s="44">
        <v>1</v>
      </c>
      <c r="O149" s="67">
        <f t="shared" si="5"/>
        <v>131.4</v>
      </c>
    </row>
    <row r="150" spans="1:15">
      <c r="A150" s="44" t="s">
        <v>489</v>
      </c>
      <c r="B150" s="42" t="s">
        <v>341</v>
      </c>
      <c r="C150" s="3" t="s">
        <v>141</v>
      </c>
      <c r="D150" s="46" t="s">
        <v>137</v>
      </c>
      <c r="E150" s="44" t="s">
        <v>9</v>
      </c>
      <c r="F150" s="47" t="s">
        <v>104</v>
      </c>
      <c r="G150" s="48" t="s">
        <v>178</v>
      </c>
      <c r="H150" s="41">
        <v>1</v>
      </c>
      <c r="I150" s="49" t="s">
        <v>209</v>
      </c>
      <c r="J150" s="39">
        <v>1</v>
      </c>
      <c r="K150" s="40">
        <f>VLOOKUP(E150,照明設備稼働時間!$A$4:$F$20,5,FALSE)</f>
        <v>8760</v>
      </c>
      <c r="L150" s="40" t="str">
        <f t="shared" si="4"/>
        <v>FL20W1避難口誘導灯B級BL型（直管型）</v>
      </c>
      <c r="M150" s="40">
        <f>VLOOKUP(L150,照明器具種類!$B$4:$F$89,5,FALSE)</f>
        <v>26</v>
      </c>
      <c r="N150" s="44">
        <v>1</v>
      </c>
      <c r="O150" s="67">
        <f t="shared" si="5"/>
        <v>227.76</v>
      </c>
    </row>
    <row r="151" spans="1:15">
      <c r="A151" s="44" t="s">
        <v>490</v>
      </c>
      <c r="B151" s="42" t="s">
        <v>341</v>
      </c>
      <c r="C151" s="3" t="s">
        <v>142</v>
      </c>
      <c r="D151" s="46" t="s">
        <v>137</v>
      </c>
      <c r="E151" s="44" t="s">
        <v>9</v>
      </c>
      <c r="F151" s="47" t="s">
        <v>49</v>
      </c>
      <c r="G151" s="48" t="s">
        <v>24</v>
      </c>
      <c r="H151" s="41">
        <v>1</v>
      </c>
      <c r="I151" s="49" t="s">
        <v>212</v>
      </c>
      <c r="J151" s="39">
        <v>1</v>
      </c>
      <c r="K151" s="40">
        <f>VLOOKUP(E151,照明設備稼働時間!$A$4:$F$20,5,FALSE)</f>
        <v>8760</v>
      </c>
      <c r="L151" s="40" t="str">
        <f t="shared" si="4"/>
        <v>FL10W 1通路誘導灯C級（直管型）</v>
      </c>
      <c r="M151" s="40">
        <f>VLOOKUP(L151,照明器具種類!$B$4:$F$89,5,FALSE)</f>
        <v>15</v>
      </c>
      <c r="N151" s="44">
        <v>1</v>
      </c>
      <c r="O151" s="67">
        <f t="shared" si="5"/>
        <v>131.4</v>
      </c>
    </row>
    <row r="152" spans="1:15">
      <c r="A152" s="44" t="s">
        <v>491</v>
      </c>
      <c r="B152" s="42" t="s">
        <v>341</v>
      </c>
      <c r="C152" s="3" t="s">
        <v>144</v>
      </c>
      <c r="D152" s="46" t="s">
        <v>12</v>
      </c>
      <c r="E152" s="44" t="s">
        <v>9</v>
      </c>
      <c r="F152" s="47" t="s">
        <v>26</v>
      </c>
      <c r="G152" s="48" t="s">
        <v>24</v>
      </c>
      <c r="H152" s="41">
        <v>1</v>
      </c>
      <c r="I152" s="49" t="s">
        <v>212</v>
      </c>
      <c r="J152" s="39">
        <v>1</v>
      </c>
      <c r="K152" s="40">
        <f>VLOOKUP(E152,照明設備稼働時間!$A$4:$F$20,5,FALSE)</f>
        <v>8760</v>
      </c>
      <c r="L152" s="40" t="str">
        <f t="shared" si="4"/>
        <v>FL10W 1通路誘導灯C級（直管型）</v>
      </c>
      <c r="M152" s="40">
        <f>VLOOKUP(L152,照明器具種類!$B$4:$F$89,5,FALSE)</f>
        <v>15</v>
      </c>
      <c r="N152" s="44">
        <v>1</v>
      </c>
      <c r="O152" s="67">
        <f t="shared" si="5"/>
        <v>131.4</v>
      </c>
    </row>
    <row r="153" spans="1:15">
      <c r="A153" s="44" t="s">
        <v>492</v>
      </c>
      <c r="B153" s="42" t="s">
        <v>341</v>
      </c>
      <c r="C153" s="3" t="s">
        <v>40</v>
      </c>
      <c r="D153" s="46" t="s">
        <v>12</v>
      </c>
      <c r="E153" s="44" t="s">
        <v>9</v>
      </c>
      <c r="F153" s="47" t="s">
        <v>26</v>
      </c>
      <c r="G153" s="48" t="s">
        <v>178</v>
      </c>
      <c r="H153" s="41">
        <v>1</v>
      </c>
      <c r="I153" s="49" t="s">
        <v>210</v>
      </c>
      <c r="J153" s="39">
        <v>1</v>
      </c>
      <c r="K153" s="40">
        <f>VLOOKUP(E153,照明設備稼働時間!$A$4:$F$20,5,FALSE)</f>
        <v>8760</v>
      </c>
      <c r="L153" s="40" t="str">
        <f t="shared" si="4"/>
        <v>FL20W1通路誘導灯B級BL型（直管型）</v>
      </c>
      <c r="M153" s="40">
        <f>VLOOKUP(L153,照明器具種類!$B$4:$F$89,5,FALSE)</f>
        <v>26</v>
      </c>
      <c r="N153" s="44">
        <v>1</v>
      </c>
      <c r="O153" s="67">
        <f t="shared" si="5"/>
        <v>227.76</v>
      </c>
    </row>
    <row r="154" spans="1:15">
      <c r="A154" s="44" t="s">
        <v>493</v>
      </c>
      <c r="B154" s="42" t="s">
        <v>341</v>
      </c>
      <c r="C154" s="3" t="s">
        <v>145</v>
      </c>
      <c r="D154" s="46" t="s">
        <v>41</v>
      </c>
      <c r="E154" s="44" t="s">
        <v>9</v>
      </c>
      <c r="F154" s="47" t="s">
        <v>68</v>
      </c>
      <c r="G154" s="48" t="s">
        <v>177</v>
      </c>
      <c r="H154" s="41">
        <v>2</v>
      </c>
      <c r="I154" s="49" t="s">
        <v>211</v>
      </c>
      <c r="J154" s="39">
        <v>1</v>
      </c>
      <c r="K154" s="40">
        <f>VLOOKUP(E154,照明設備稼働時間!$A$4:$F$20,5,FALSE)</f>
        <v>8760</v>
      </c>
      <c r="L154" s="40" t="str">
        <f t="shared" si="4"/>
        <v>FL40W2避難口誘導灯A級（直管型）</v>
      </c>
      <c r="M154" s="40">
        <f>VLOOKUP(L154,照明器具種類!$B$4:$F$89,5,FALSE)</f>
        <v>98</v>
      </c>
      <c r="N154" s="44">
        <v>1</v>
      </c>
      <c r="O154" s="67">
        <f t="shared" si="5"/>
        <v>858.48</v>
      </c>
    </row>
    <row r="155" spans="1:15">
      <c r="A155" s="44" t="s">
        <v>494</v>
      </c>
      <c r="B155" s="42" t="s">
        <v>341</v>
      </c>
      <c r="C155" s="3" t="s">
        <v>248</v>
      </c>
      <c r="D155" s="46" t="s">
        <v>41</v>
      </c>
      <c r="E155" s="44" t="s">
        <v>9</v>
      </c>
      <c r="F155" s="47" t="s">
        <v>68</v>
      </c>
      <c r="G155" s="48" t="s">
        <v>178</v>
      </c>
      <c r="H155" s="41">
        <v>1</v>
      </c>
      <c r="I155" s="49" t="s">
        <v>209</v>
      </c>
      <c r="J155" s="39">
        <v>1</v>
      </c>
      <c r="K155" s="40">
        <f>VLOOKUP(E155,照明設備稼働時間!$A$4:$F$20,5,FALSE)</f>
        <v>8760</v>
      </c>
      <c r="L155" s="40" t="str">
        <f t="shared" si="4"/>
        <v>FL20W1避難口誘導灯B級BL型（直管型）</v>
      </c>
      <c r="M155" s="40">
        <f>VLOOKUP(L155,照明器具種類!$B$4:$F$89,5,FALSE)</f>
        <v>26</v>
      </c>
      <c r="N155" s="44">
        <v>1</v>
      </c>
      <c r="O155" s="67">
        <f t="shared" si="5"/>
        <v>227.76</v>
      </c>
    </row>
    <row r="156" spans="1:15">
      <c r="A156" s="44" t="s">
        <v>495</v>
      </c>
      <c r="B156" s="42" t="s">
        <v>341</v>
      </c>
      <c r="C156" s="3" t="s">
        <v>146</v>
      </c>
      <c r="D156" s="46" t="s">
        <v>12</v>
      </c>
      <c r="E156" s="44" t="s">
        <v>9</v>
      </c>
      <c r="F156" s="47" t="s">
        <v>147</v>
      </c>
      <c r="G156" s="48" t="s">
        <v>178</v>
      </c>
      <c r="H156" s="41">
        <v>1</v>
      </c>
      <c r="I156" s="49" t="s">
        <v>209</v>
      </c>
      <c r="J156" s="39">
        <v>1</v>
      </c>
      <c r="K156" s="40">
        <f>VLOOKUP(E156,照明設備稼働時間!$A$4:$F$20,5,FALSE)</f>
        <v>8760</v>
      </c>
      <c r="L156" s="40" t="str">
        <f t="shared" si="4"/>
        <v>FL20W1避難口誘導灯B級BL型（直管型）</v>
      </c>
      <c r="M156" s="40">
        <f>VLOOKUP(L156,照明器具種類!$B$4:$F$89,5,FALSE)</f>
        <v>26</v>
      </c>
      <c r="N156" s="44">
        <v>1</v>
      </c>
      <c r="O156" s="67">
        <f t="shared" si="5"/>
        <v>227.76</v>
      </c>
    </row>
    <row r="157" spans="1:15">
      <c r="A157" s="44" t="s">
        <v>496</v>
      </c>
      <c r="B157" s="42" t="s">
        <v>341</v>
      </c>
      <c r="C157" s="3" t="s">
        <v>148</v>
      </c>
      <c r="D157" s="46" t="s">
        <v>12</v>
      </c>
      <c r="E157" s="44" t="s">
        <v>9</v>
      </c>
      <c r="F157" s="47" t="s">
        <v>149</v>
      </c>
      <c r="G157" s="48" t="s">
        <v>24</v>
      </c>
      <c r="H157" s="41">
        <v>1</v>
      </c>
      <c r="I157" s="49" t="s">
        <v>212</v>
      </c>
      <c r="J157" s="39">
        <v>1</v>
      </c>
      <c r="K157" s="40">
        <f>VLOOKUP(E157,照明設備稼働時間!$A$4:$F$20,5,FALSE)</f>
        <v>8760</v>
      </c>
      <c r="L157" s="40" t="str">
        <f t="shared" si="4"/>
        <v>FL10W 1通路誘導灯C級（直管型）</v>
      </c>
      <c r="M157" s="40">
        <f>VLOOKUP(L157,照明器具種類!$B$4:$F$89,5,FALSE)</f>
        <v>15</v>
      </c>
      <c r="N157" s="44">
        <v>1</v>
      </c>
      <c r="O157" s="67">
        <f t="shared" si="5"/>
        <v>131.4</v>
      </c>
    </row>
    <row r="158" spans="1:15">
      <c r="A158" s="44" t="s">
        <v>497</v>
      </c>
      <c r="B158" s="42" t="s">
        <v>341</v>
      </c>
      <c r="C158" s="3" t="s">
        <v>59</v>
      </c>
      <c r="D158" s="46" t="s">
        <v>12</v>
      </c>
      <c r="E158" s="44" t="s">
        <v>9</v>
      </c>
      <c r="F158" s="47" t="s">
        <v>149</v>
      </c>
      <c r="G158" s="48" t="s">
        <v>178</v>
      </c>
      <c r="H158" s="41">
        <v>1</v>
      </c>
      <c r="I158" s="49" t="s">
        <v>209</v>
      </c>
      <c r="J158" s="39">
        <v>1</v>
      </c>
      <c r="K158" s="40">
        <f>VLOOKUP(E158,照明設備稼働時間!$A$4:$F$20,5,FALSE)</f>
        <v>8760</v>
      </c>
      <c r="L158" s="40" t="str">
        <f t="shared" si="4"/>
        <v>FL20W1避難口誘導灯B級BL型（直管型）</v>
      </c>
      <c r="M158" s="40">
        <f>VLOOKUP(L158,照明器具種類!$B$4:$F$89,5,FALSE)</f>
        <v>26</v>
      </c>
      <c r="N158" s="44">
        <v>1</v>
      </c>
      <c r="O158" s="67">
        <f t="shared" si="5"/>
        <v>227.76</v>
      </c>
    </row>
    <row r="159" spans="1:15">
      <c r="A159" s="44" t="s">
        <v>498</v>
      </c>
      <c r="B159" s="42" t="s">
        <v>341</v>
      </c>
      <c r="C159" s="3" t="s">
        <v>151</v>
      </c>
      <c r="D159" s="46" t="s">
        <v>12</v>
      </c>
      <c r="E159" s="44" t="s">
        <v>9</v>
      </c>
      <c r="F159" s="47" t="s">
        <v>247</v>
      </c>
      <c r="G159" s="48" t="s">
        <v>178</v>
      </c>
      <c r="H159" s="41">
        <v>1</v>
      </c>
      <c r="I159" s="49" t="s">
        <v>210</v>
      </c>
      <c r="J159" s="39">
        <v>2</v>
      </c>
      <c r="K159" s="40">
        <f>VLOOKUP(E159,照明設備稼働時間!$A$4:$F$20,5,FALSE)</f>
        <v>8760</v>
      </c>
      <c r="L159" s="40" t="str">
        <f t="shared" si="4"/>
        <v>FL20W1通路誘導灯B級BL型（直管型）</v>
      </c>
      <c r="M159" s="40">
        <f>VLOOKUP(L159,照明器具種類!$B$4:$F$89,5,FALSE)</f>
        <v>26</v>
      </c>
      <c r="N159" s="44">
        <v>1</v>
      </c>
      <c r="O159" s="67">
        <f t="shared" si="5"/>
        <v>455.52</v>
      </c>
    </row>
    <row r="160" spans="1:15">
      <c r="A160" s="44" t="s">
        <v>499</v>
      </c>
      <c r="B160" s="42" t="s">
        <v>341</v>
      </c>
      <c r="C160" s="3" t="s">
        <v>59</v>
      </c>
      <c r="D160" s="46" t="s">
        <v>12</v>
      </c>
      <c r="E160" s="44" t="s">
        <v>9</v>
      </c>
      <c r="F160" s="47" t="s">
        <v>247</v>
      </c>
      <c r="G160" s="48" t="s">
        <v>178</v>
      </c>
      <c r="H160" s="41">
        <v>1</v>
      </c>
      <c r="I160" s="49" t="s">
        <v>209</v>
      </c>
      <c r="J160" s="39">
        <v>2</v>
      </c>
      <c r="K160" s="40">
        <f>VLOOKUP(E160,照明設備稼働時間!$A$4:$F$20,5,FALSE)</f>
        <v>8760</v>
      </c>
      <c r="L160" s="40" t="str">
        <f t="shared" si="4"/>
        <v>FL20W1避難口誘導灯B級BL型（直管型）</v>
      </c>
      <c r="M160" s="40">
        <f>VLOOKUP(L160,照明器具種類!$B$4:$F$89,5,FALSE)</f>
        <v>26</v>
      </c>
      <c r="N160" s="44">
        <v>1</v>
      </c>
      <c r="O160" s="67">
        <f t="shared" si="5"/>
        <v>455.52</v>
      </c>
    </row>
    <row r="161" spans="1:15">
      <c r="A161" s="44" t="s">
        <v>500</v>
      </c>
      <c r="B161" s="42" t="s">
        <v>341</v>
      </c>
      <c r="C161" s="3" t="s">
        <v>59</v>
      </c>
      <c r="D161" s="46" t="s">
        <v>12</v>
      </c>
      <c r="E161" s="44" t="s">
        <v>9</v>
      </c>
      <c r="F161" s="47" t="s">
        <v>152</v>
      </c>
      <c r="G161" s="48" t="s">
        <v>178</v>
      </c>
      <c r="H161" s="41">
        <v>1</v>
      </c>
      <c r="I161" s="49" t="s">
        <v>209</v>
      </c>
      <c r="J161" s="39">
        <v>1</v>
      </c>
      <c r="K161" s="40">
        <f>VLOOKUP(E161,照明設備稼働時間!$A$4:$F$20,5,FALSE)</f>
        <v>8760</v>
      </c>
      <c r="L161" s="40" t="str">
        <f t="shared" si="4"/>
        <v>FL20W1避難口誘導灯B級BL型（直管型）</v>
      </c>
      <c r="M161" s="40">
        <f>VLOOKUP(L161,照明器具種類!$B$4:$F$89,5,FALSE)</f>
        <v>26</v>
      </c>
      <c r="N161" s="44">
        <v>1</v>
      </c>
      <c r="O161" s="67">
        <f t="shared" si="5"/>
        <v>227.76</v>
      </c>
    </row>
    <row r="162" spans="1:15">
      <c r="A162" s="44" t="s">
        <v>501</v>
      </c>
      <c r="B162" s="42" t="s">
        <v>341</v>
      </c>
      <c r="C162" s="3" t="s">
        <v>144</v>
      </c>
      <c r="D162" s="46" t="s">
        <v>12</v>
      </c>
      <c r="E162" s="44" t="s">
        <v>9</v>
      </c>
      <c r="F162" s="47" t="s">
        <v>152</v>
      </c>
      <c r="G162" s="48" t="s">
        <v>24</v>
      </c>
      <c r="H162" s="41">
        <v>1</v>
      </c>
      <c r="I162" s="49" t="s">
        <v>212</v>
      </c>
      <c r="J162" s="39">
        <v>1</v>
      </c>
      <c r="K162" s="40">
        <f>VLOOKUP(E162,照明設備稼働時間!$A$4:$F$20,5,FALSE)</f>
        <v>8760</v>
      </c>
      <c r="L162" s="40" t="str">
        <f t="shared" si="4"/>
        <v>FL10W 1通路誘導灯C級（直管型）</v>
      </c>
      <c r="M162" s="40">
        <f>VLOOKUP(L162,照明器具種類!$B$4:$F$89,5,FALSE)</f>
        <v>15</v>
      </c>
      <c r="N162" s="44">
        <v>1</v>
      </c>
      <c r="O162" s="67">
        <f t="shared" si="5"/>
        <v>131.4</v>
      </c>
    </row>
    <row r="163" spans="1:15">
      <c r="A163" s="44" t="s">
        <v>502</v>
      </c>
      <c r="B163" s="42" t="s">
        <v>341</v>
      </c>
      <c r="C163" s="3" t="s">
        <v>140</v>
      </c>
      <c r="D163" s="46" t="s">
        <v>12</v>
      </c>
      <c r="E163" s="44" t="s">
        <v>9</v>
      </c>
      <c r="F163" s="47" t="s">
        <v>152</v>
      </c>
      <c r="G163" s="48" t="s">
        <v>178</v>
      </c>
      <c r="H163" s="41">
        <v>1</v>
      </c>
      <c r="I163" s="49" t="s">
        <v>209</v>
      </c>
      <c r="J163" s="39">
        <v>1</v>
      </c>
      <c r="K163" s="40">
        <f>VLOOKUP(E163,照明設備稼働時間!$A$4:$F$20,5,FALSE)</f>
        <v>8760</v>
      </c>
      <c r="L163" s="40" t="str">
        <f t="shared" si="4"/>
        <v>FL20W1避難口誘導灯B級BL型（直管型）</v>
      </c>
      <c r="M163" s="40">
        <f>VLOOKUP(L163,照明器具種類!$B$4:$F$89,5,FALSE)</f>
        <v>26</v>
      </c>
      <c r="N163" s="44">
        <v>1</v>
      </c>
      <c r="O163" s="67">
        <f t="shared" si="5"/>
        <v>227.76</v>
      </c>
    </row>
    <row r="164" spans="1:15">
      <c r="A164" s="44" t="s">
        <v>503</v>
      </c>
      <c r="B164" s="42" t="s">
        <v>341</v>
      </c>
      <c r="C164" s="3" t="s">
        <v>153</v>
      </c>
      <c r="D164" s="46" t="s">
        <v>12</v>
      </c>
      <c r="E164" s="44" t="s">
        <v>9</v>
      </c>
      <c r="F164" s="47" t="s">
        <v>154</v>
      </c>
      <c r="G164" s="48" t="s">
        <v>177</v>
      </c>
      <c r="H164" s="41">
        <v>2</v>
      </c>
      <c r="I164" s="49" t="s">
        <v>213</v>
      </c>
      <c r="J164" s="39">
        <v>4</v>
      </c>
      <c r="K164" s="40">
        <f>VLOOKUP(E164,照明設備稼働時間!$A$4:$F$20,5,FALSE)</f>
        <v>8760</v>
      </c>
      <c r="L164" s="40" t="str">
        <f t="shared" si="4"/>
        <v>FL40W2避難口誘導灯A級（直管型）</v>
      </c>
      <c r="M164" s="40">
        <f>VLOOKUP(L164,照明器具種類!$B$4:$F$89,5,FALSE)</f>
        <v>98</v>
      </c>
      <c r="N164" s="44">
        <v>1</v>
      </c>
      <c r="O164" s="67">
        <f t="shared" si="5"/>
        <v>3433.92</v>
      </c>
    </row>
    <row r="165" spans="1:15">
      <c r="A165" s="44" t="s">
        <v>504</v>
      </c>
      <c r="B165" s="42" t="s">
        <v>341</v>
      </c>
      <c r="C165" s="3" t="s">
        <v>169</v>
      </c>
      <c r="D165" s="46" t="s">
        <v>25</v>
      </c>
      <c r="E165" s="44" t="s">
        <v>9</v>
      </c>
      <c r="F165" s="47" t="s">
        <v>26</v>
      </c>
      <c r="G165" s="48" t="s">
        <v>177</v>
      </c>
      <c r="H165" s="41">
        <v>2</v>
      </c>
      <c r="I165" s="49" t="s">
        <v>214</v>
      </c>
      <c r="J165" s="39">
        <v>1</v>
      </c>
      <c r="K165" s="40">
        <f>VLOOKUP(E165,照明設備稼働時間!$A$4:$F$20,5,FALSE)</f>
        <v>8760</v>
      </c>
      <c r="L165" s="40" t="str">
        <f t="shared" si="4"/>
        <v>FL40W2避難口誘導灯</v>
      </c>
      <c r="M165" s="40">
        <f>VLOOKUP(L165,照明器具種類!$B$4:$F$89,5,FALSE)</f>
        <v>98</v>
      </c>
      <c r="N165" s="44">
        <v>1</v>
      </c>
      <c r="O165" s="67">
        <f t="shared" si="5"/>
        <v>858.48</v>
      </c>
    </row>
    <row r="166" spans="1:15">
      <c r="A166" s="44" t="s">
        <v>505</v>
      </c>
      <c r="B166" s="42" t="s">
        <v>341</v>
      </c>
      <c r="C166" s="3" t="s">
        <v>153</v>
      </c>
      <c r="D166" s="46" t="s">
        <v>25</v>
      </c>
      <c r="E166" s="44" t="s">
        <v>9</v>
      </c>
      <c r="F166" s="47" t="s">
        <v>155</v>
      </c>
      <c r="G166" s="48" t="s">
        <v>177</v>
      </c>
      <c r="H166" s="41">
        <v>2</v>
      </c>
      <c r="I166" s="49" t="s">
        <v>213</v>
      </c>
      <c r="J166" s="39">
        <v>1</v>
      </c>
      <c r="K166" s="40">
        <f>VLOOKUP(E166,照明設備稼働時間!$A$4:$F$20,5,FALSE)</f>
        <v>8760</v>
      </c>
      <c r="L166" s="40" t="str">
        <f t="shared" si="4"/>
        <v>FL40W2避難口誘導灯A級（直管型）</v>
      </c>
      <c r="M166" s="40">
        <f>VLOOKUP(L166,照明器具種類!$B$4:$F$89,5,FALSE)</f>
        <v>98</v>
      </c>
      <c r="N166" s="44">
        <v>1</v>
      </c>
      <c r="O166" s="67">
        <f t="shared" si="5"/>
        <v>858.48</v>
      </c>
    </row>
    <row r="167" spans="1:15">
      <c r="A167" s="44" t="s">
        <v>506</v>
      </c>
      <c r="B167" s="42" t="s">
        <v>341</v>
      </c>
      <c r="C167" s="3" t="s">
        <v>143</v>
      </c>
      <c r="D167" s="46" t="s">
        <v>12</v>
      </c>
      <c r="E167" s="44" t="s">
        <v>323</v>
      </c>
      <c r="F167" s="47" t="s">
        <v>13</v>
      </c>
      <c r="G167" s="48" t="s">
        <v>170</v>
      </c>
      <c r="H167" s="41">
        <v>1</v>
      </c>
      <c r="I167" s="49" t="s">
        <v>193</v>
      </c>
      <c r="J167" s="39">
        <v>1</v>
      </c>
      <c r="K167" s="40">
        <f>VLOOKUP(E167,照明設備稼働時間!$A$4:$F$20,5,FALSE)</f>
        <v>0</v>
      </c>
      <c r="L167" s="40" t="str">
        <f t="shared" si="4"/>
        <v>PIL12V40WS35E171非常灯　電源別置</v>
      </c>
      <c r="M167" s="40">
        <f>VLOOKUP(L167,照明器具種類!$B$4:$F$89,5,FALSE)</f>
        <v>0</v>
      </c>
      <c r="N167" s="44">
        <v>1</v>
      </c>
      <c r="O167" s="67">
        <f t="shared" si="5"/>
        <v>0</v>
      </c>
    </row>
    <row r="168" spans="1:15">
      <c r="A168" s="44" t="s">
        <v>507</v>
      </c>
      <c r="B168" s="42" t="s">
        <v>341</v>
      </c>
      <c r="C168" s="3" t="s">
        <v>143</v>
      </c>
      <c r="D168" s="46" t="s">
        <v>12</v>
      </c>
      <c r="E168" s="44" t="s">
        <v>323</v>
      </c>
      <c r="F168" s="47" t="s">
        <v>26</v>
      </c>
      <c r="G168" s="48" t="s">
        <v>158</v>
      </c>
      <c r="H168" s="41">
        <v>1</v>
      </c>
      <c r="I168" s="49" t="s">
        <v>193</v>
      </c>
      <c r="J168" s="39">
        <v>6</v>
      </c>
      <c r="K168" s="40">
        <f>VLOOKUP(E168,照明設備稼働時間!$A$4:$F$20,5,FALSE)</f>
        <v>0</v>
      </c>
      <c r="L168" s="40" t="str">
        <f t="shared" si="4"/>
        <v>PIL12V40WS35E171非常灯　電源別置</v>
      </c>
      <c r="M168" s="40">
        <f>VLOOKUP(L168,照明器具種類!$B$4:$F$89,5,FALSE)</f>
        <v>0</v>
      </c>
      <c r="N168" s="44">
        <v>1</v>
      </c>
      <c r="O168" s="67">
        <f t="shared" si="5"/>
        <v>0</v>
      </c>
    </row>
    <row r="169" spans="1:15">
      <c r="A169" s="44" t="s">
        <v>508</v>
      </c>
      <c r="B169" s="42" t="s">
        <v>341</v>
      </c>
      <c r="C169" s="3" t="s">
        <v>150</v>
      </c>
      <c r="D169" s="46" t="s">
        <v>12</v>
      </c>
      <c r="E169" s="44" t="s">
        <v>323</v>
      </c>
      <c r="F169" s="47" t="s">
        <v>174</v>
      </c>
      <c r="G169" s="48" t="s">
        <v>172</v>
      </c>
      <c r="H169" s="41">
        <v>1</v>
      </c>
      <c r="I169" s="49" t="s">
        <v>173</v>
      </c>
      <c r="J169" s="39">
        <v>8</v>
      </c>
      <c r="K169" s="40">
        <f>VLOOKUP(E169,照明設備稼働時間!$A$4:$F$20,5,FALSE)</f>
        <v>0</v>
      </c>
      <c r="L169" s="40" t="str">
        <f t="shared" si="4"/>
        <v>IL40W1非常灯　電源別置　WP</v>
      </c>
      <c r="M169" s="40">
        <f>VLOOKUP(L169,照明器具種類!$B$4:$F$89,5,FALSE)</f>
        <v>0</v>
      </c>
      <c r="N169" s="44">
        <v>1</v>
      </c>
      <c r="O169" s="67">
        <f t="shared" si="5"/>
        <v>0</v>
      </c>
    </row>
    <row r="170" spans="1:15">
      <c r="A170" s="44" t="s">
        <v>509</v>
      </c>
      <c r="B170" s="42" t="s">
        <v>341</v>
      </c>
      <c r="C170" s="3" t="s">
        <v>143</v>
      </c>
      <c r="D170" s="46" t="s">
        <v>12</v>
      </c>
      <c r="E170" s="44" t="s">
        <v>323</v>
      </c>
      <c r="F170" s="47" t="s">
        <v>23</v>
      </c>
      <c r="G170" s="48" t="s">
        <v>158</v>
      </c>
      <c r="H170" s="41">
        <v>1</v>
      </c>
      <c r="I170" s="49" t="s">
        <v>171</v>
      </c>
      <c r="J170" s="39">
        <v>2</v>
      </c>
      <c r="K170" s="40">
        <f>VLOOKUP(E170,照明設備稼働時間!$A$4:$F$20,5,FALSE)</f>
        <v>0</v>
      </c>
      <c r="L170" s="40" t="str">
        <f t="shared" si="4"/>
        <v>PIL12V40WS35E171非常灯　電源別置</v>
      </c>
      <c r="M170" s="40">
        <f>VLOOKUP(L170,照明器具種類!$B$4:$F$89,5,FALSE)</f>
        <v>0</v>
      </c>
      <c r="N170" s="44">
        <v>1</v>
      </c>
      <c r="O170" s="67">
        <f t="shared" si="5"/>
        <v>0</v>
      </c>
    </row>
    <row r="171" spans="1:15">
      <c r="A171" s="44" t="s">
        <v>510</v>
      </c>
      <c r="B171" s="42" t="s">
        <v>341</v>
      </c>
      <c r="C171" s="3" t="s">
        <v>143</v>
      </c>
      <c r="D171" s="46" t="s">
        <v>25</v>
      </c>
      <c r="E171" s="44" t="s">
        <v>323</v>
      </c>
      <c r="F171" s="47" t="s">
        <v>26</v>
      </c>
      <c r="G171" s="48" t="s">
        <v>158</v>
      </c>
      <c r="H171" s="41">
        <v>1</v>
      </c>
      <c r="I171" s="49" t="s">
        <v>171</v>
      </c>
      <c r="J171" s="39">
        <v>1</v>
      </c>
      <c r="K171" s="40">
        <f>VLOOKUP(E171,照明設備稼働時間!$A$4:$F$20,5,FALSE)</f>
        <v>0</v>
      </c>
      <c r="L171" s="40" t="str">
        <f t="shared" si="4"/>
        <v>PIL12V40WS35E171非常灯　電源別置</v>
      </c>
      <c r="M171" s="40">
        <f>VLOOKUP(L171,照明器具種類!$B$4:$F$89,5,FALSE)</f>
        <v>0</v>
      </c>
      <c r="N171" s="44">
        <v>1</v>
      </c>
      <c r="O171" s="67">
        <f t="shared" si="5"/>
        <v>0</v>
      </c>
    </row>
    <row r="172" spans="1:15">
      <c r="A172" s="44" t="s">
        <v>511</v>
      </c>
      <c r="B172" s="42" t="s">
        <v>341</v>
      </c>
      <c r="C172" s="3" t="s">
        <v>156</v>
      </c>
      <c r="D172" s="46" t="s">
        <v>25</v>
      </c>
      <c r="E172" s="44" t="s">
        <v>323</v>
      </c>
      <c r="F172" s="47" t="s">
        <v>135</v>
      </c>
      <c r="G172" s="48" t="s">
        <v>168</v>
      </c>
      <c r="H172" s="41">
        <v>1</v>
      </c>
      <c r="I172" s="49" t="s">
        <v>249</v>
      </c>
      <c r="J172" s="39">
        <v>8</v>
      </c>
      <c r="K172" s="40">
        <f>VLOOKUP(E172,照明設備稼働時間!$A$4:$F$20,5,FALSE)</f>
        <v>0</v>
      </c>
      <c r="L172" s="40" t="str">
        <f t="shared" si="4"/>
        <v>IL100W1投光器（保安灯）　重耐塩仕様</v>
      </c>
      <c r="M172" s="40">
        <f>VLOOKUP(L172,照明器具種類!$B$4:$F$89,5,FALSE)</f>
        <v>100</v>
      </c>
      <c r="N172" s="44">
        <v>1</v>
      </c>
      <c r="O172" s="67">
        <f t="shared" si="5"/>
        <v>0</v>
      </c>
    </row>
    <row r="173" spans="1:15">
      <c r="A173" s="44" t="s">
        <v>512</v>
      </c>
      <c r="B173" s="42" t="s">
        <v>341</v>
      </c>
      <c r="C173" s="3" t="s">
        <v>157</v>
      </c>
      <c r="D173" s="46" t="s">
        <v>25</v>
      </c>
      <c r="E173" s="44" t="s">
        <v>323</v>
      </c>
      <c r="F173" s="47" t="s">
        <v>135</v>
      </c>
      <c r="G173" s="48" t="s">
        <v>168</v>
      </c>
      <c r="H173" s="41">
        <v>1</v>
      </c>
      <c r="I173" s="49" t="s">
        <v>250</v>
      </c>
      <c r="J173" s="39">
        <v>16</v>
      </c>
      <c r="K173" s="40">
        <f>VLOOKUP(E173,照明設備稼働時間!$A$4:$F$20,5,FALSE)</f>
        <v>0</v>
      </c>
      <c r="L173" s="40" t="str">
        <f t="shared" si="4"/>
        <v>IL100W1非常灯　電源別置　重耐塩仕様</v>
      </c>
      <c r="M173" s="40">
        <f>VLOOKUP(L173,照明器具種類!$B$4:$F$89,5,FALSE)</f>
        <v>0</v>
      </c>
      <c r="N173" s="44">
        <v>1</v>
      </c>
      <c r="O173" s="67">
        <f t="shared" si="5"/>
        <v>0</v>
      </c>
    </row>
    <row r="174" spans="1:15">
      <c r="O174" s="67">
        <f>SUM(O4:O173)</f>
        <v>510606.98650000023</v>
      </c>
    </row>
  </sheetData>
  <autoFilter ref="A3:O174" xr:uid="{B3EA20F1-663B-4E04-AC38-F7F6408BDA85}"/>
  <phoneticPr fontId="4"/>
  <dataValidations count="2">
    <dataValidation allowBlank="1" showInputMessage="1" showErrorMessage="1" sqref="I4:I49 F4:F45 I97:I173 F87:F91 F63:F80 F97:F173 I51:I88 I91 I93 D4:D173" xr:uid="{AE677BFC-FE3E-4036-B768-0F1F67709F91}"/>
    <dataValidation type="list" allowBlank="1" showInputMessage="1" showErrorMessage="1" sqref="B4:B173" xr:uid="{3523275A-8811-4C29-934A-AB87B07B440D}">
      <formula1>#REF!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8" scale="91" orientation="landscape" r:id="rId1"/>
  <rowBreaks count="3" manualBreakCount="3">
    <brk id="9" max="14" man="1"/>
    <brk id="80" max="14" man="1"/>
    <brk id="164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3A9FD1-DD5C-4503-881B-A50E78479EFA}">
          <x14:formula1>
            <xm:f>照明設備稼働時間!$A$4:$A$20</xm:f>
          </x14:formula1>
          <xm:sqref>E4:E173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DD9CC-1170-4E61-940B-94F2B9D6BCC5}">
  <sheetPr>
    <pageSetUpPr fitToPage="1"/>
  </sheetPr>
  <dimension ref="A1:N35"/>
  <sheetViews>
    <sheetView topLeftCell="A19" zoomScale="115" zoomScaleNormal="115" workbookViewId="0">
      <selection activeCell="B3" sqref="B3"/>
    </sheetView>
  </sheetViews>
  <sheetFormatPr defaultRowHeight="17.649999999999999"/>
  <cols>
    <col min="1" max="1" width="17.125" customWidth="1"/>
  </cols>
  <sheetData>
    <row r="1" spans="1:14">
      <c r="A1" s="4" t="s">
        <v>27</v>
      </c>
    </row>
    <row r="2" spans="1:14">
      <c r="A2" s="1" t="s">
        <v>251</v>
      </c>
      <c r="B2" s="1">
        <v>4</v>
      </c>
      <c r="C2" s="1">
        <v>5</v>
      </c>
      <c r="D2" s="1">
        <v>6</v>
      </c>
      <c r="E2" s="1">
        <v>7</v>
      </c>
      <c r="F2" s="1">
        <v>8</v>
      </c>
      <c r="G2" s="1">
        <v>9</v>
      </c>
      <c r="H2" s="1">
        <v>10</v>
      </c>
      <c r="I2" s="1">
        <v>11</v>
      </c>
      <c r="J2" s="1">
        <v>12</v>
      </c>
      <c r="K2" s="1">
        <v>1</v>
      </c>
      <c r="L2" s="1">
        <v>2</v>
      </c>
      <c r="M2" s="1">
        <v>3</v>
      </c>
      <c r="N2" s="1" t="s">
        <v>252</v>
      </c>
    </row>
    <row r="3" spans="1:14">
      <c r="A3" s="1" t="s">
        <v>253</v>
      </c>
      <c r="B3" s="1">
        <v>59150</v>
      </c>
      <c r="C3" s="1">
        <v>78370</v>
      </c>
      <c r="D3" s="1">
        <v>75720</v>
      </c>
      <c r="E3" s="1">
        <v>79940</v>
      </c>
      <c r="F3" s="1">
        <v>80070</v>
      </c>
      <c r="G3" s="1">
        <v>76040</v>
      </c>
      <c r="H3" s="1">
        <v>79330</v>
      </c>
      <c r="I3" s="1">
        <v>77200</v>
      </c>
      <c r="J3" s="1">
        <v>80060</v>
      </c>
      <c r="K3" s="1">
        <v>77930</v>
      </c>
      <c r="L3" s="1"/>
      <c r="M3" s="1"/>
      <c r="N3" s="1">
        <f>AVERAGE(B3:K3)</f>
        <v>76381</v>
      </c>
    </row>
    <row r="4" spans="1:14">
      <c r="A4" s="1" t="s">
        <v>254</v>
      </c>
      <c r="B4" s="1">
        <v>20.83</v>
      </c>
      <c r="C4" s="1">
        <v>20.83</v>
      </c>
      <c r="D4" s="1">
        <v>20.83</v>
      </c>
      <c r="E4" s="1">
        <v>20.83</v>
      </c>
      <c r="F4" s="1">
        <v>20.83</v>
      </c>
      <c r="G4" s="1">
        <v>20.83</v>
      </c>
      <c r="H4" s="1">
        <v>20.83</v>
      </c>
      <c r="I4" s="1">
        <v>20.83</v>
      </c>
      <c r="J4" s="1">
        <v>20.83</v>
      </c>
      <c r="K4" s="1">
        <v>20.83</v>
      </c>
      <c r="L4" s="1"/>
      <c r="M4" s="1"/>
      <c r="N4" s="1">
        <f t="shared" ref="N4" si="0">AVERAGE(B4:H4)</f>
        <v>20.830000000000002</v>
      </c>
    </row>
    <row r="5" spans="1:14">
      <c r="A5" s="1" t="s">
        <v>255</v>
      </c>
      <c r="B5" s="1">
        <v>-2.37</v>
      </c>
      <c r="C5" s="1">
        <v>-2.71</v>
      </c>
      <c r="D5" s="1">
        <v>-2.0699999999999998</v>
      </c>
      <c r="E5" s="1">
        <v>-1.28</v>
      </c>
      <c r="F5" s="1">
        <v>-1.24</v>
      </c>
      <c r="G5" s="1">
        <v>-3.16</v>
      </c>
      <c r="H5" s="1">
        <v>-2.76</v>
      </c>
      <c r="I5" s="1">
        <v>-1.91</v>
      </c>
      <c r="J5" s="1">
        <v>-0.77</v>
      </c>
      <c r="K5" s="1">
        <v>-1.06</v>
      </c>
      <c r="L5" s="1"/>
      <c r="M5" s="1"/>
      <c r="N5" s="1">
        <f>AVERAGE(B5:K5)</f>
        <v>-1.9329999999999998</v>
      </c>
    </row>
    <row r="6" spans="1:14">
      <c r="A6" s="1" t="s">
        <v>256</v>
      </c>
      <c r="B6" s="1">
        <v>1.4</v>
      </c>
      <c r="C6" s="1">
        <v>3.49</v>
      </c>
      <c r="D6" s="1">
        <v>3.49</v>
      </c>
      <c r="E6" s="1">
        <v>3.49</v>
      </c>
      <c r="F6" s="1">
        <v>3.49</v>
      </c>
      <c r="G6" s="1">
        <v>3.49</v>
      </c>
      <c r="H6" s="1">
        <v>3.49</v>
      </c>
      <c r="I6" s="1">
        <v>3.49</v>
      </c>
      <c r="J6" s="1">
        <v>3.49</v>
      </c>
      <c r="K6" s="1">
        <v>3.49</v>
      </c>
      <c r="L6" s="1"/>
      <c r="M6" s="1"/>
      <c r="N6" s="1">
        <f>AVERAGE(B6:K6)</f>
        <v>3.281000000000001</v>
      </c>
    </row>
    <row r="7" spans="1:14">
      <c r="A7" s="1" t="s">
        <v>257</v>
      </c>
      <c r="B7" s="1">
        <f>SUM(B4:B6)</f>
        <v>19.859999999999996</v>
      </c>
      <c r="C7" s="1">
        <f t="shared" ref="C7:M7" si="1">SUM(C4:C6)</f>
        <v>21.61</v>
      </c>
      <c r="D7" s="1">
        <f t="shared" si="1"/>
        <v>22.25</v>
      </c>
      <c r="E7" s="1">
        <f t="shared" si="1"/>
        <v>23.04</v>
      </c>
      <c r="F7" s="1">
        <f t="shared" si="1"/>
        <v>23.08</v>
      </c>
      <c r="G7" s="1">
        <f t="shared" si="1"/>
        <v>21.159999999999997</v>
      </c>
      <c r="H7" s="1">
        <f t="shared" si="1"/>
        <v>21.560000000000002</v>
      </c>
      <c r="I7" s="1">
        <f t="shared" si="1"/>
        <v>22.409999999999997</v>
      </c>
      <c r="J7" s="1">
        <f t="shared" si="1"/>
        <v>23.549999999999997</v>
      </c>
      <c r="K7" s="1">
        <f t="shared" si="1"/>
        <v>23.259999999999998</v>
      </c>
      <c r="L7" s="1">
        <f t="shared" si="1"/>
        <v>0</v>
      </c>
      <c r="M7" s="1">
        <f t="shared" si="1"/>
        <v>0</v>
      </c>
      <c r="N7" s="5">
        <f t="shared" ref="N7" si="2">AVERAGE(B7:H7)</f>
        <v>21.794285714285714</v>
      </c>
    </row>
    <row r="9" spans="1:14">
      <c r="A9" s="1" t="s">
        <v>258</v>
      </c>
      <c r="B9" s="1">
        <v>4</v>
      </c>
      <c r="C9" s="1">
        <v>5</v>
      </c>
      <c r="D9" s="1">
        <v>6</v>
      </c>
      <c r="E9" s="1">
        <v>7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</v>
      </c>
      <c r="L9" s="1">
        <v>2</v>
      </c>
      <c r="M9" s="1">
        <v>3</v>
      </c>
      <c r="N9" s="1" t="s">
        <v>252</v>
      </c>
    </row>
    <row r="10" spans="1:14">
      <c r="A10" s="1" t="s">
        <v>253</v>
      </c>
      <c r="B10" s="1">
        <v>69510</v>
      </c>
      <c r="C10" s="1">
        <v>79730</v>
      </c>
      <c r="D10" s="1">
        <v>76240</v>
      </c>
      <c r="E10" s="1">
        <v>80290</v>
      </c>
      <c r="F10" s="1">
        <v>79880</v>
      </c>
      <c r="G10" s="1">
        <v>77140</v>
      </c>
      <c r="H10" s="1">
        <v>79540</v>
      </c>
      <c r="I10" s="1">
        <v>78030</v>
      </c>
      <c r="J10" s="1">
        <v>80910</v>
      </c>
      <c r="K10" s="1">
        <v>78370</v>
      </c>
      <c r="L10" s="1">
        <v>76200</v>
      </c>
      <c r="M10" s="1">
        <v>77190</v>
      </c>
      <c r="N10" s="1">
        <f>AVERAGE(B10:M10)</f>
        <v>77752.5</v>
      </c>
    </row>
    <row r="11" spans="1:14">
      <c r="A11" s="1" t="s">
        <v>254</v>
      </c>
      <c r="B11" s="1">
        <v>30.78</v>
      </c>
      <c r="C11" s="1">
        <v>30.78</v>
      </c>
      <c r="D11" s="1">
        <v>30.78</v>
      </c>
      <c r="E11" s="1">
        <v>30.78</v>
      </c>
      <c r="F11" s="1">
        <v>30.78</v>
      </c>
      <c r="G11" s="1">
        <v>30.78</v>
      </c>
      <c r="H11" s="1">
        <v>30.78</v>
      </c>
      <c r="I11" s="1">
        <v>30.78</v>
      </c>
      <c r="J11" s="1">
        <v>30.78</v>
      </c>
      <c r="K11" s="1">
        <v>30.78</v>
      </c>
      <c r="L11" s="1">
        <v>30.78</v>
      </c>
      <c r="M11" s="1">
        <v>30.78</v>
      </c>
      <c r="N11" s="1">
        <f t="shared" ref="N11:N14" si="3">AVERAGE(B11:H11)</f>
        <v>30.78</v>
      </c>
    </row>
    <row r="12" spans="1:14">
      <c r="A12" s="1" t="s">
        <v>255</v>
      </c>
      <c r="B12" s="1">
        <v>-5.38</v>
      </c>
      <c r="C12" s="1">
        <v>-7.03</v>
      </c>
      <c r="D12" s="1">
        <v>-9.14</v>
      </c>
      <c r="E12" s="1">
        <v>-10.92</v>
      </c>
      <c r="F12" s="1">
        <v>-12.31</v>
      </c>
      <c r="G12" s="1">
        <v>-13.19</v>
      </c>
      <c r="H12" s="1">
        <v>-11.95</v>
      </c>
      <c r="I12" s="1">
        <v>-12.11</v>
      </c>
      <c r="J12" s="1">
        <v>-12.01</v>
      </c>
      <c r="K12" s="1">
        <v>-11.77</v>
      </c>
      <c r="L12" s="1">
        <v>-11.63</v>
      </c>
      <c r="M12" s="1">
        <v>-11.77</v>
      </c>
      <c r="N12" s="1">
        <f t="shared" si="3"/>
        <v>-9.9885714285714293</v>
      </c>
    </row>
    <row r="13" spans="1:14">
      <c r="A13" s="1" t="s">
        <v>256</v>
      </c>
      <c r="B13" s="1">
        <v>3.45</v>
      </c>
      <c r="C13" s="1">
        <v>1.4</v>
      </c>
      <c r="D13" s="1">
        <v>1.4</v>
      </c>
      <c r="E13" s="1">
        <v>1.4</v>
      </c>
      <c r="F13" s="1">
        <v>1.4</v>
      </c>
      <c r="G13" s="1">
        <v>1.4</v>
      </c>
      <c r="H13" s="1">
        <v>1.4</v>
      </c>
      <c r="I13" s="1">
        <v>1.4</v>
      </c>
      <c r="J13" s="1">
        <v>1.4</v>
      </c>
      <c r="K13" s="1">
        <v>1.4</v>
      </c>
      <c r="L13" s="1">
        <v>1.4</v>
      </c>
      <c r="M13" s="1">
        <v>1.4</v>
      </c>
      <c r="N13" s="1">
        <f>AVERAGE(B13:M13)</f>
        <v>1.5708333333333331</v>
      </c>
    </row>
    <row r="14" spans="1:14">
      <c r="A14" s="1" t="s">
        <v>257</v>
      </c>
      <c r="B14" s="1">
        <f>SUM(B11:B13)</f>
        <v>28.85</v>
      </c>
      <c r="C14" s="1">
        <f t="shared" ref="C14:M14" si="4">SUM(C11:C13)</f>
        <v>25.15</v>
      </c>
      <c r="D14" s="1">
        <f t="shared" si="4"/>
        <v>23.04</v>
      </c>
      <c r="E14" s="1">
        <f t="shared" si="4"/>
        <v>21.259999999999998</v>
      </c>
      <c r="F14" s="1">
        <f t="shared" si="4"/>
        <v>19.869999999999997</v>
      </c>
      <c r="G14" s="1">
        <f t="shared" si="4"/>
        <v>18.990000000000002</v>
      </c>
      <c r="H14" s="1">
        <f t="shared" si="4"/>
        <v>20.23</v>
      </c>
      <c r="I14" s="1">
        <f t="shared" si="4"/>
        <v>20.07</v>
      </c>
      <c r="J14" s="1">
        <f t="shared" si="4"/>
        <v>20.170000000000002</v>
      </c>
      <c r="K14" s="1">
        <f t="shared" si="4"/>
        <v>20.41</v>
      </c>
      <c r="L14" s="1">
        <f t="shared" si="4"/>
        <v>20.549999999999997</v>
      </c>
      <c r="M14" s="1">
        <f t="shared" si="4"/>
        <v>20.41</v>
      </c>
      <c r="N14" s="5">
        <f t="shared" si="3"/>
        <v>22.484285714285711</v>
      </c>
    </row>
    <row r="16" spans="1:14">
      <c r="A16" s="1" t="s">
        <v>259</v>
      </c>
      <c r="B16" s="1">
        <v>4</v>
      </c>
      <c r="C16" s="1">
        <v>5</v>
      </c>
      <c r="D16" s="1">
        <v>6</v>
      </c>
      <c r="E16" s="1">
        <v>7</v>
      </c>
      <c r="F16" s="1">
        <v>8</v>
      </c>
      <c r="G16" s="1">
        <v>9</v>
      </c>
      <c r="H16" s="1">
        <v>10</v>
      </c>
      <c r="I16" s="1">
        <v>11</v>
      </c>
      <c r="J16" s="1">
        <v>12</v>
      </c>
      <c r="K16" s="1">
        <v>1</v>
      </c>
      <c r="L16" s="1">
        <v>2</v>
      </c>
      <c r="M16" s="1">
        <v>3</v>
      </c>
      <c r="N16" s="1" t="s">
        <v>252</v>
      </c>
    </row>
    <row r="17" spans="1:14">
      <c r="A17" s="1" t="s">
        <v>253</v>
      </c>
      <c r="B17" s="1">
        <v>66210</v>
      </c>
      <c r="C17" s="1">
        <v>78760</v>
      </c>
      <c r="D17" s="1">
        <v>76080</v>
      </c>
      <c r="E17" s="1">
        <v>77460</v>
      </c>
      <c r="F17" s="1">
        <v>78740</v>
      </c>
      <c r="G17" s="1">
        <v>75210</v>
      </c>
      <c r="H17" s="1">
        <v>79340</v>
      </c>
      <c r="I17" s="1">
        <v>77640</v>
      </c>
      <c r="J17" s="1">
        <v>81380</v>
      </c>
      <c r="K17" s="1">
        <v>78150</v>
      </c>
      <c r="L17" s="1">
        <v>73640</v>
      </c>
      <c r="M17" s="1">
        <v>77690</v>
      </c>
      <c r="N17" s="1">
        <f>AVERAGE(I17:M17)</f>
        <v>77700</v>
      </c>
    </row>
    <row r="18" spans="1:14">
      <c r="A18" s="1" t="s">
        <v>254</v>
      </c>
      <c r="B18" s="1">
        <v>15.99</v>
      </c>
      <c r="C18" s="1">
        <v>15.99</v>
      </c>
      <c r="D18" s="1">
        <v>15.99</v>
      </c>
      <c r="E18" s="1">
        <v>15.99</v>
      </c>
      <c r="F18" s="1">
        <v>15.99</v>
      </c>
      <c r="G18" s="1">
        <v>15.99</v>
      </c>
      <c r="H18" s="1">
        <v>15.99</v>
      </c>
      <c r="I18" s="1">
        <v>15.99</v>
      </c>
      <c r="J18" s="1">
        <v>15.99</v>
      </c>
      <c r="K18" s="1">
        <v>15.99</v>
      </c>
      <c r="L18" s="1">
        <v>15.99</v>
      </c>
      <c r="M18" s="1">
        <v>15.99</v>
      </c>
      <c r="N18" s="1">
        <f t="shared" ref="N18:N21" si="5">AVERAGE(I18:M18)</f>
        <v>15.99</v>
      </c>
    </row>
    <row r="19" spans="1:14">
      <c r="A19" s="1" t="s">
        <v>255</v>
      </c>
      <c r="B19" s="1">
        <v>1.34</v>
      </c>
      <c r="C19" s="1">
        <v>1.49</v>
      </c>
      <c r="D19" s="1">
        <v>1.85</v>
      </c>
      <c r="E19" s="1">
        <v>3.1</v>
      </c>
      <c r="F19" s="1">
        <v>4.55</v>
      </c>
      <c r="G19" s="1">
        <v>6.54</v>
      </c>
      <c r="H19" s="1">
        <v>8.0500000000000007</v>
      </c>
      <c r="I19" s="1">
        <v>8.94</v>
      </c>
      <c r="J19" s="1">
        <v>9.36</v>
      </c>
      <c r="K19" s="1">
        <v>9.51</v>
      </c>
      <c r="L19" s="1">
        <v>6.35</v>
      </c>
      <c r="M19" s="1">
        <v>5.8</v>
      </c>
      <c r="N19" s="1">
        <f t="shared" si="5"/>
        <v>7.9919999999999991</v>
      </c>
    </row>
    <row r="20" spans="1:14">
      <c r="A20" s="1" t="s">
        <v>256</v>
      </c>
      <c r="B20" s="1">
        <v>3.36</v>
      </c>
      <c r="C20" s="1">
        <v>3.45</v>
      </c>
      <c r="D20" s="1">
        <v>3.45</v>
      </c>
      <c r="E20" s="1">
        <v>3.45</v>
      </c>
      <c r="F20" s="1">
        <v>3.45</v>
      </c>
      <c r="G20" s="1">
        <v>3.45</v>
      </c>
      <c r="H20" s="1">
        <v>3.45</v>
      </c>
      <c r="I20" s="1">
        <v>3.45</v>
      </c>
      <c r="J20" s="1">
        <v>3.45</v>
      </c>
      <c r="K20" s="1">
        <v>3.45</v>
      </c>
      <c r="L20" s="1">
        <v>3.45</v>
      </c>
      <c r="M20" s="1">
        <v>3.45</v>
      </c>
      <c r="N20" s="1">
        <f t="shared" si="5"/>
        <v>3.45</v>
      </c>
    </row>
    <row r="21" spans="1:14">
      <c r="A21" s="1" t="s">
        <v>257</v>
      </c>
      <c r="B21" s="1">
        <f>SUM(B18:B20)</f>
        <v>20.69</v>
      </c>
      <c r="C21" s="1">
        <f t="shared" ref="C21:M21" si="6">SUM(C18:C20)</f>
        <v>20.93</v>
      </c>
      <c r="D21" s="1">
        <f t="shared" si="6"/>
        <v>21.29</v>
      </c>
      <c r="E21" s="1">
        <f t="shared" si="6"/>
        <v>22.54</v>
      </c>
      <c r="F21" s="1">
        <f t="shared" si="6"/>
        <v>23.99</v>
      </c>
      <c r="G21" s="1">
        <f t="shared" si="6"/>
        <v>25.98</v>
      </c>
      <c r="H21" s="1">
        <f t="shared" si="6"/>
        <v>27.49</v>
      </c>
      <c r="I21" s="1">
        <f t="shared" si="6"/>
        <v>28.38</v>
      </c>
      <c r="J21" s="1">
        <f t="shared" si="6"/>
        <v>28.8</v>
      </c>
      <c r="K21" s="1">
        <f t="shared" si="6"/>
        <v>28.95</v>
      </c>
      <c r="L21" s="1">
        <f t="shared" si="6"/>
        <v>25.79</v>
      </c>
      <c r="M21" s="1">
        <f t="shared" si="6"/>
        <v>25.24</v>
      </c>
      <c r="N21" s="5">
        <f t="shared" si="5"/>
        <v>27.431999999999999</v>
      </c>
    </row>
    <row r="23" spans="1:14">
      <c r="A23" s="1" t="s">
        <v>260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>
        <v>10</v>
      </c>
      <c r="I23" s="1">
        <v>11</v>
      </c>
      <c r="J23" s="1">
        <v>12</v>
      </c>
      <c r="K23" s="1">
        <v>1</v>
      </c>
      <c r="L23" s="1">
        <v>2</v>
      </c>
      <c r="M23" s="1">
        <v>3</v>
      </c>
      <c r="N23" s="1" t="s">
        <v>252</v>
      </c>
    </row>
    <row r="24" spans="1:14">
      <c r="A24" s="1" t="s">
        <v>253</v>
      </c>
      <c r="B24" s="1">
        <v>65100</v>
      </c>
      <c r="C24" s="1">
        <v>75700</v>
      </c>
      <c r="D24" s="1">
        <v>71490</v>
      </c>
      <c r="E24" s="1">
        <v>80410</v>
      </c>
      <c r="F24" s="1">
        <v>68640</v>
      </c>
      <c r="G24" s="1">
        <v>30430</v>
      </c>
      <c r="H24" s="1">
        <v>33280</v>
      </c>
      <c r="I24" s="1">
        <v>33230</v>
      </c>
      <c r="J24" s="1">
        <v>36780</v>
      </c>
      <c r="K24" s="1">
        <v>35890</v>
      </c>
      <c r="L24" s="1">
        <v>34140</v>
      </c>
      <c r="M24" s="1">
        <v>35220</v>
      </c>
      <c r="N24" s="1">
        <f>AVERAGE(B24:M24)</f>
        <v>50025.833333333336</v>
      </c>
    </row>
    <row r="25" spans="1:14">
      <c r="A25" s="1" t="s">
        <v>254</v>
      </c>
      <c r="B25" s="1">
        <v>15.99</v>
      </c>
      <c r="C25" s="1">
        <v>15.99</v>
      </c>
      <c r="D25" s="1">
        <v>15.99</v>
      </c>
      <c r="E25" s="1">
        <v>15.99</v>
      </c>
      <c r="F25" s="1">
        <v>15.99</v>
      </c>
      <c r="G25" s="1">
        <v>15.99</v>
      </c>
      <c r="H25" s="1">
        <v>15.99</v>
      </c>
      <c r="I25" s="1">
        <v>15.99</v>
      </c>
      <c r="J25" s="1">
        <v>15.99</v>
      </c>
      <c r="K25" s="1">
        <v>15.99</v>
      </c>
      <c r="L25" s="1">
        <v>15.99</v>
      </c>
      <c r="M25" s="1">
        <v>15.99</v>
      </c>
      <c r="N25" s="1">
        <f t="shared" ref="N25:N28" si="7">AVERAGE(B25:M25)</f>
        <v>15.990000000000002</v>
      </c>
    </row>
    <row r="26" spans="1:14">
      <c r="A26" s="1" t="s">
        <v>255</v>
      </c>
      <c r="B26" s="1">
        <v>-3.19</v>
      </c>
      <c r="C26" s="1">
        <v>-2.87</v>
      </c>
      <c r="D26" s="1">
        <v>-2.38</v>
      </c>
      <c r="E26" s="1">
        <v>-1.87</v>
      </c>
      <c r="F26" s="1">
        <v>-1.53</v>
      </c>
      <c r="G26" s="1">
        <v>-1.23</v>
      </c>
      <c r="H26" s="1">
        <v>-0.95</v>
      </c>
      <c r="I26" s="1">
        <v>-0.56999999999999995</v>
      </c>
      <c r="J26" s="1">
        <v>-0.26</v>
      </c>
      <c r="K26" s="1">
        <v>0.06</v>
      </c>
      <c r="L26" s="1">
        <v>0.6</v>
      </c>
      <c r="M26" s="1">
        <v>1.1200000000000001</v>
      </c>
      <c r="N26" s="1">
        <f t="shared" si="7"/>
        <v>-1.0891666666666666</v>
      </c>
    </row>
    <row r="27" spans="1:14">
      <c r="A27" s="1" t="s">
        <v>256</v>
      </c>
      <c r="B27" s="1">
        <v>2.98</v>
      </c>
      <c r="C27" s="1">
        <v>3.36</v>
      </c>
      <c r="D27" s="1">
        <v>3.36</v>
      </c>
      <c r="E27" s="1">
        <v>3.36</v>
      </c>
      <c r="F27" s="1">
        <v>3.36</v>
      </c>
      <c r="G27" s="1">
        <v>3.36</v>
      </c>
      <c r="H27" s="1">
        <v>3.36</v>
      </c>
      <c r="I27" s="1">
        <v>3.36</v>
      </c>
      <c r="J27" s="1">
        <v>3.36</v>
      </c>
      <c r="K27" s="1">
        <v>3.36</v>
      </c>
      <c r="L27" s="1">
        <v>3.36</v>
      </c>
      <c r="M27" s="1">
        <v>3.36</v>
      </c>
      <c r="N27" s="1">
        <f t="shared" si="7"/>
        <v>3.3283333333333331</v>
      </c>
    </row>
    <row r="28" spans="1:14">
      <c r="A28" s="1" t="s">
        <v>257</v>
      </c>
      <c r="B28" s="1">
        <f>SUM(B25:B27)</f>
        <v>15.780000000000001</v>
      </c>
      <c r="C28" s="1">
        <f t="shared" ref="C28:M28" si="8">SUM(C25:C27)</f>
        <v>16.48</v>
      </c>
      <c r="D28" s="1">
        <f t="shared" si="8"/>
        <v>16.97</v>
      </c>
      <c r="E28" s="1">
        <f t="shared" si="8"/>
        <v>17.48</v>
      </c>
      <c r="F28" s="1">
        <f t="shared" si="8"/>
        <v>17.82</v>
      </c>
      <c r="G28" s="1">
        <f t="shared" si="8"/>
        <v>18.12</v>
      </c>
      <c r="H28" s="1">
        <f t="shared" si="8"/>
        <v>18.400000000000002</v>
      </c>
      <c r="I28" s="1">
        <f t="shared" si="8"/>
        <v>18.78</v>
      </c>
      <c r="J28" s="1">
        <f t="shared" si="8"/>
        <v>19.09</v>
      </c>
      <c r="K28" s="1">
        <f t="shared" si="8"/>
        <v>19.41</v>
      </c>
      <c r="L28" s="1">
        <f t="shared" si="8"/>
        <v>19.95</v>
      </c>
      <c r="M28" s="1">
        <f t="shared" si="8"/>
        <v>20.47</v>
      </c>
      <c r="N28" s="5">
        <f t="shared" si="7"/>
        <v>18.229166666666668</v>
      </c>
    </row>
    <row r="30" spans="1:14">
      <c r="A30" s="1" t="s">
        <v>261</v>
      </c>
      <c r="B30" s="1">
        <v>4</v>
      </c>
      <c r="C30" s="1">
        <v>5</v>
      </c>
      <c r="D30" s="1">
        <v>6</v>
      </c>
      <c r="E30" s="1">
        <v>7</v>
      </c>
      <c r="F30" s="1">
        <v>8</v>
      </c>
      <c r="G30" s="1">
        <v>9</v>
      </c>
      <c r="H30" s="1">
        <v>10</v>
      </c>
      <c r="I30" s="1">
        <v>11</v>
      </c>
      <c r="J30" s="1">
        <v>12</v>
      </c>
      <c r="K30" s="1">
        <v>1</v>
      </c>
      <c r="L30" s="1">
        <v>2</v>
      </c>
      <c r="M30" s="1">
        <v>3</v>
      </c>
      <c r="N30" s="1" t="s">
        <v>252</v>
      </c>
    </row>
    <row r="31" spans="1:14">
      <c r="A31" s="1" t="s">
        <v>253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 t="e">
        <f>AVERAGE(B31:M31)</f>
        <v>#DIV/0!</v>
      </c>
    </row>
    <row r="32" spans="1:14">
      <c r="A32" s="1" t="s">
        <v>254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 t="e">
        <f t="shared" ref="N32:N35" si="9">AVERAGE(B32:M32)</f>
        <v>#DIV/0!</v>
      </c>
    </row>
    <row r="33" spans="1:14">
      <c r="A33" s="1" t="s">
        <v>255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 t="e">
        <f t="shared" si="9"/>
        <v>#DIV/0!</v>
      </c>
    </row>
    <row r="34" spans="1:14">
      <c r="A34" s="1" t="s">
        <v>256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 t="e">
        <f t="shared" si="9"/>
        <v>#DIV/0!</v>
      </c>
    </row>
    <row r="35" spans="1:14">
      <c r="A35" s="1" t="s">
        <v>257</v>
      </c>
      <c r="B35" s="1">
        <f>SUM(B32:B34)</f>
        <v>0</v>
      </c>
      <c r="C35" s="1">
        <f t="shared" ref="C35:M35" si="10">SUM(C32:C34)</f>
        <v>0</v>
      </c>
      <c r="D35" s="1">
        <f t="shared" si="10"/>
        <v>0</v>
      </c>
      <c r="E35" s="1">
        <f t="shared" si="10"/>
        <v>0</v>
      </c>
      <c r="F35" s="1">
        <f t="shared" si="10"/>
        <v>0</v>
      </c>
      <c r="G35" s="1">
        <f t="shared" si="10"/>
        <v>0</v>
      </c>
      <c r="H35" s="1">
        <f t="shared" si="10"/>
        <v>0</v>
      </c>
      <c r="I35" s="1">
        <f t="shared" si="10"/>
        <v>0</v>
      </c>
      <c r="J35" s="1">
        <f t="shared" si="10"/>
        <v>0</v>
      </c>
      <c r="K35" s="1">
        <f t="shared" si="10"/>
        <v>0</v>
      </c>
      <c r="L35" s="1">
        <f t="shared" si="10"/>
        <v>0</v>
      </c>
      <c r="M35" s="1">
        <f t="shared" si="10"/>
        <v>0</v>
      </c>
      <c r="N35" s="5">
        <f t="shared" si="9"/>
        <v>0</v>
      </c>
    </row>
  </sheetData>
  <phoneticPr fontId="4"/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設定ベースライン</vt:lpstr>
      <vt:lpstr>直近36ヶ月使用電力量</vt:lpstr>
      <vt:lpstr>照明器具種類</vt:lpstr>
      <vt:lpstr>照明設備稼働時間</vt:lpstr>
      <vt:lpstr>照明器具台数</vt:lpstr>
      <vt:lpstr>既設照明器具リスト</vt:lpstr>
      <vt:lpstr>市民プール</vt:lpstr>
      <vt:lpstr>既設照明器具リスト!Print_Area</vt:lpstr>
      <vt:lpstr>既設照明器具リスト!Print_Titles</vt:lpstr>
      <vt:lpstr>照明器具種類!Print_Titles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　正敏</dc:creator>
  <cp:lastModifiedBy>福山　正敏</cp:lastModifiedBy>
  <cp:lastPrinted>2025-03-23T05:29:21Z</cp:lastPrinted>
  <dcterms:created xsi:type="dcterms:W3CDTF">2015-06-05T18:19:34Z</dcterms:created>
  <dcterms:modified xsi:type="dcterms:W3CDTF">2025-03-23T07:26:36Z</dcterms:modified>
</cp:coreProperties>
</file>