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2.82.24\share\trashbox\公共施設マネジメント室\104公共施設照明LED化\03_プロポーザル\配布資料\01_既設照明器具リスト\03_総合福祉センター\"/>
    </mc:Choice>
  </mc:AlternateContent>
  <xr:revisionPtr revIDLastSave="0" documentId="13_ncr:1_{A15E34AA-7D45-419B-B71C-D7E50DA034E1}" xr6:coauthVersionLast="47" xr6:coauthVersionMax="47" xr10:uidLastSave="{00000000-0000-0000-0000-000000000000}"/>
  <bookViews>
    <workbookView xWindow="40920" yWindow="-120" windowWidth="29040" windowHeight="15840" tabRatio="848" activeTab="4" xr2:uid="{00000000-000D-0000-FFFF-FFFF00000000}"/>
  </bookViews>
  <sheets>
    <sheet name="設定ベースライン" sheetId="18" r:id="rId1"/>
    <sheet name="直近36ヶ月使用電力量" sheetId="19" r:id="rId2"/>
    <sheet name="照明器具一覧" sheetId="25" r:id="rId3"/>
    <sheet name="照明設備稼働時間" sheetId="26" r:id="rId4"/>
    <sheet name="照明器具台数" sheetId="27" r:id="rId5"/>
    <sheet name="既設照明器具リスト" sheetId="28" r:id="rId6"/>
    <sheet name="総合福祉センター" sheetId="24" state="hidden" r:id="rId7"/>
  </sheets>
  <definedNames>
    <definedName name="_xlnm._FilterDatabase" localSheetId="5" hidden="1">既設照明器具リスト!$A$3:$O$504</definedName>
    <definedName name="_xlnm._FilterDatabase" localSheetId="2" hidden="1">照明器具一覧!$A$3:$F$130</definedName>
    <definedName name="_xlnm.Print_Area" localSheetId="5">既設照明器具リスト!$A$1:$O$503</definedName>
    <definedName name="_xlnm.Print_Titles" localSheetId="5">既設照明器具リスト!$3:$3</definedName>
    <definedName name="_xlnm.Print_Titles" localSheetId="2">照明器具一覧!$3:$3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6" l="1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72" i="26"/>
  <c r="E6" i="26"/>
  <c r="E7" i="26"/>
  <c r="E8" i="26"/>
  <c r="E5" i="26"/>
  <c r="E4" i="26"/>
  <c r="L503" i="28" l="1"/>
  <c r="L502" i="28"/>
  <c r="L501" i="28"/>
  <c r="L500" i="28"/>
  <c r="L499" i="28"/>
  <c r="L498" i="28"/>
  <c r="L497" i="28"/>
  <c r="L496" i="28"/>
  <c r="L495" i="28"/>
  <c r="L494" i="28"/>
  <c r="L493" i="28"/>
  <c r="L492" i="28"/>
  <c r="L491" i="28"/>
  <c r="L490" i="28"/>
  <c r="L489" i="28"/>
  <c r="L488" i="28"/>
  <c r="L487" i="28"/>
  <c r="L486" i="28"/>
  <c r="L485" i="28"/>
  <c r="L484" i="28"/>
  <c r="L483" i="28"/>
  <c r="L482" i="28"/>
  <c r="L481" i="28"/>
  <c r="L480" i="28"/>
  <c r="L479" i="28"/>
  <c r="L478" i="28"/>
  <c r="L477" i="28"/>
  <c r="L476" i="28"/>
  <c r="L475" i="28"/>
  <c r="L474" i="28"/>
  <c r="L473" i="28"/>
  <c r="L472" i="28"/>
  <c r="L471" i="28"/>
  <c r="L470" i="28"/>
  <c r="L469" i="28"/>
  <c r="L468" i="28"/>
  <c r="L467" i="28"/>
  <c r="L466" i="28"/>
  <c r="L465" i="28"/>
  <c r="L464" i="28"/>
  <c r="L463" i="28"/>
  <c r="L462" i="28"/>
  <c r="L461" i="28"/>
  <c r="L460" i="28"/>
  <c r="L459" i="28"/>
  <c r="L458" i="28"/>
  <c r="L457" i="28"/>
  <c r="L456" i="28"/>
  <c r="L455" i="28"/>
  <c r="L454" i="28"/>
  <c r="L453" i="28"/>
  <c r="L452" i="28"/>
  <c r="L451" i="28"/>
  <c r="L450" i="28"/>
  <c r="L449" i="28"/>
  <c r="L448" i="28"/>
  <c r="L447" i="28"/>
  <c r="L446" i="28"/>
  <c r="L445" i="28"/>
  <c r="L444" i="28"/>
  <c r="L443" i="28"/>
  <c r="L442" i="28"/>
  <c r="L441" i="28"/>
  <c r="L440" i="28"/>
  <c r="L439" i="28"/>
  <c r="L438" i="28"/>
  <c r="L437" i="28"/>
  <c r="L436" i="28"/>
  <c r="L435" i="28"/>
  <c r="L434" i="28"/>
  <c r="L433" i="28"/>
  <c r="L432" i="28"/>
  <c r="L431" i="28"/>
  <c r="L430" i="28"/>
  <c r="L429" i="28"/>
  <c r="L428" i="28"/>
  <c r="L427" i="28"/>
  <c r="L426" i="28"/>
  <c r="L425" i="28"/>
  <c r="L424" i="28"/>
  <c r="L423" i="28"/>
  <c r="L422" i="28"/>
  <c r="L421" i="28"/>
  <c r="L420" i="28"/>
  <c r="L419" i="28"/>
  <c r="L418" i="28"/>
  <c r="L417" i="28"/>
  <c r="L416" i="28"/>
  <c r="L415" i="28"/>
  <c r="L414" i="28"/>
  <c r="L413" i="28"/>
  <c r="L412" i="28"/>
  <c r="L411" i="28"/>
  <c r="L410" i="28"/>
  <c r="L409" i="28"/>
  <c r="L408" i="28"/>
  <c r="L407" i="28"/>
  <c r="L406" i="28"/>
  <c r="L405" i="28"/>
  <c r="L404" i="28"/>
  <c r="L403" i="28"/>
  <c r="L402" i="28"/>
  <c r="L401" i="28"/>
  <c r="L400" i="28"/>
  <c r="L399" i="28"/>
  <c r="L398" i="28"/>
  <c r="L397" i="28"/>
  <c r="L396" i="28"/>
  <c r="L395" i="28"/>
  <c r="L394" i="28"/>
  <c r="L393" i="28"/>
  <c r="L392" i="28"/>
  <c r="L391" i="28"/>
  <c r="L390" i="28"/>
  <c r="L389" i="28"/>
  <c r="L388" i="28"/>
  <c r="L387" i="28"/>
  <c r="L386" i="28"/>
  <c r="L385" i="28"/>
  <c r="L384" i="28"/>
  <c r="L383" i="28"/>
  <c r="L382" i="28"/>
  <c r="L381" i="28"/>
  <c r="L380" i="28"/>
  <c r="L379" i="28"/>
  <c r="L378" i="28"/>
  <c r="L377" i="28"/>
  <c r="L376" i="28"/>
  <c r="L375" i="28"/>
  <c r="L374" i="28"/>
  <c r="L373" i="28"/>
  <c r="L372" i="28"/>
  <c r="L371" i="28"/>
  <c r="L370" i="28"/>
  <c r="L369" i="28"/>
  <c r="L368" i="28"/>
  <c r="L367" i="28"/>
  <c r="L366" i="28"/>
  <c r="L365" i="28"/>
  <c r="L364" i="28"/>
  <c r="L363" i="28"/>
  <c r="L362" i="28"/>
  <c r="L361" i="28"/>
  <c r="L360" i="28"/>
  <c r="L359" i="28"/>
  <c r="L358" i="28"/>
  <c r="L357" i="28"/>
  <c r="L356" i="28"/>
  <c r="L355" i="28"/>
  <c r="L354" i="28"/>
  <c r="L353" i="28"/>
  <c r="L352" i="28"/>
  <c r="L351" i="28"/>
  <c r="L350" i="28"/>
  <c r="L349" i="28"/>
  <c r="L348" i="28"/>
  <c r="L347" i="28"/>
  <c r="L346" i="28"/>
  <c r="L345" i="28"/>
  <c r="L344" i="28"/>
  <c r="L343" i="28"/>
  <c r="L342" i="28"/>
  <c r="L341" i="28"/>
  <c r="L340" i="28"/>
  <c r="L339" i="28"/>
  <c r="L338" i="28"/>
  <c r="L337" i="28"/>
  <c r="L336" i="28"/>
  <c r="L335" i="28"/>
  <c r="L334" i="28"/>
  <c r="L333" i="28"/>
  <c r="L332" i="28"/>
  <c r="L331" i="28"/>
  <c r="L330" i="28"/>
  <c r="L329" i="28"/>
  <c r="L328" i="28"/>
  <c r="L327" i="28"/>
  <c r="L326" i="28"/>
  <c r="L325" i="28"/>
  <c r="L324" i="28"/>
  <c r="L323" i="28"/>
  <c r="L322" i="28"/>
  <c r="L321" i="28"/>
  <c r="L320" i="28"/>
  <c r="L319" i="28"/>
  <c r="L318" i="28"/>
  <c r="L317" i="28"/>
  <c r="L316" i="28"/>
  <c r="L315" i="28"/>
  <c r="L314" i="28"/>
  <c r="L313" i="28"/>
  <c r="L312" i="28"/>
  <c r="L311" i="28"/>
  <c r="L310" i="28"/>
  <c r="L309" i="28"/>
  <c r="L308" i="28"/>
  <c r="L307" i="28"/>
  <c r="L306" i="28"/>
  <c r="L305" i="28"/>
  <c r="L304" i="28"/>
  <c r="L303" i="28"/>
  <c r="L302" i="28"/>
  <c r="L301" i="28"/>
  <c r="L300" i="28"/>
  <c r="L299" i="28"/>
  <c r="L298" i="28"/>
  <c r="L297" i="28"/>
  <c r="L296" i="28"/>
  <c r="L295" i="28"/>
  <c r="L294" i="28"/>
  <c r="L293" i="28"/>
  <c r="L292" i="28"/>
  <c r="L291" i="28"/>
  <c r="L290" i="28"/>
  <c r="L289" i="28"/>
  <c r="L288" i="28"/>
  <c r="L287" i="28"/>
  <c r="L286" i="28"/>
  <c r="L285" i="28"/>
  <c r="L284" i="28"/>
  <c r="L283" i="28"/>
  <c r="L282" i="28"/>
  <c r="L281" i="28"/>
  <c r="L280" i="28"/>
  <c r="L279" i="28"/>
  <c r="L278" i="28"/>
  <c r="L277" i="28"/>
  <c r="L276" i="28"/>
  <c r="L275" i="28"/>
  <c r="L274" i="28"/>
  <c r="L273" i="28"/>
  <c r="L272" i="28"/>
  <c r="L271" i="28"/>
  <c r="L270" i="28"/>
  <c r="L269" i="28"/>
  <c r="L268" i="28"/>
  <c r="L267" i="28"/>
  <c r="L266" i="28"/>
  <c r="L265" i="28"/>
  <c r="L264" i="28"/>
  <c r="L263" i="28"/>
  <c r="L262" i="28"/>
  <c r="L261" i="28"/>
  <c r="L260" i="28"/>
  <c r="L259" i="28"/>
  <c r="L258" i="28"/>
  <c r="L257" i="28"/>
  <c r="L256" i="28"/>
  <c r="L255" i="28"/>
  <c r="L254" i="28"/>
  <c r="L253" i="28"/>
  <c r="L252" i="28"/>
  <c r="L251" i="28"/>
  <c r="L250" i="28"/>
  <c r="L249" i="28"/>
  <c r="L248" i="28"/>
  <c r="L247" i="28"/>
  <c r="L246" i="28"/>
  <c r="L245" i="28"/>
  <c r="L244" i="28"/>
  <c r="L243" i="28"/>
  <c r="L242" i="28"/>
  <c r="L241" i="28"/>
  <c r="L240" i="28"/>
  <c r="L239" i="28"/>
  <c r="L238" i="28"/>
  <c r="L237" i="28"/>
  <c r="L236" i="28"/>
  <c r="L235" i="28"/>
  <c r="L234" i="28"/>
  <c r="L233" i="28"/>
  <c r="L232" i="28"/>
  <c r="L231" i="28"/>
  <c r="L230" i="28"/>
  <c r="L229" i="28"/>
  <c r="L228" i="28"/>
  <c r="L227" i="28"/>
  <c r="L226" i="28"/>
  <c r="L225" i="28"/>
  <c r="L224" i="28"/>
  <c r="L223" i="28"/>
  <c r="L222" i="28"/>
  <c r="L221" i="28"/>
  <c r="L220" i="28"/>
  <c r="L219" i="28"/>
  <c r="L218" i="28"/>
  <c r="L217" i="28"/>
  <c r="L216" i="28"/>
  <c r="L215" i="28"/>
  <c r="L214" i="28"/>
  <c r="L213" i="28"/>
  <c r="L212" i="28"/>
  <c r="L211" i="28"/>
  <c r="L210" i="28"/>
  <c r="L209" i="28"/>
  <c r="L208" i="28"/>
  <c r="L207" i="28"/>
  <c r="L206" i="28"/>
  <c r="L205" i="28"/>
  <c r="L204" i="28"/>
  <c r="L203" i="28"/>
  <c r="L202" i="28"/>
  <c r="L201" i="28"/>
  <c r="L200" i="28"/>
  <c r="L199" i="28"/>
  <c r="L198" i="28"/>
  <c r="L197" i="28"/>
  <c r="L196" i="28"/>
  <c r="L195" i="28"/>
  <c r="L194" i="28"/>
  <c r="L193" i="28"/>
  <c r="L192" i="28"/>
  <c r="L191" i="28"/>
  <c r="L190" i="28"/>
  <c r="L189" i="28"/>
  <c r="L188" i="28"/>
  <c r="L187" i="28"/>
  <c r="L186" i="28"/>
  <c r="L185" i="28"/>
  <c r="L184" i="28"/>
  <c r="L183" i="28"/>
  <c r="L182" i="28"/>
  <c r="L181" i="28"/>
  <c r="L180" i="28"/>
  <c r="L179" i="28"/>
  <c r="L178" i="28"/>
  <c r="L177" i="28"/>
  <c r="L176" i="28"/>
  <c r="L175" i="28"/>
  <c r="L174" i="28"/>
  <c r="L173" i="28"/>
  <c r="L172" i="28"/>
  <c r="L171" i="28"/>
  <c r="L170" i="28"/>
  <c r="L169" i="28"/>
  <c r="L168" i="28"/>
  <c r="L167" i="28"/>
  <c r="L166" i="28"/>
  <c r="L165" i="28"/>
  <c r="L164" i="28"/>
  <c r="L163" i="28"/>
  <c r="L162" i="28"/>
  <c r="L161" i="28"/>
  <c r="L160" i="28"/>
  <c r="L159" i="28"/>
  <c r="L158" i="28"/>
  <c r="L157" i="28"/>
  <c r="L156" i="28"/>
  <c r="L155" i="28"/>
  <c r="L154" i="28"/>
  <c r="L153" i="28"/>
  <c r="L152" i="28"/>
  <c r="L151" i="28"/>
  <c r="L150" i="28"/>
  <c r="L149" i="28"/>
  <c r="L148" i="28"/>
  <c r="L147" i="28"/>
  <c r="L146" i="28"/>
  <c r="L145" i="28"/>
  <c r="L144" i="28"/>
  <c r="L143" i="28"/>
  <c r="L142" i="28"/>
  <c r="L141" i="28"/>
  <c r="L140" i="28"/>
  <c r="L139" i="28"/>
  <c r="L138" i="28"/>
  <c r="L137" i="28"/>
  <c r="L136" i="28"/>
  <c r="L135" i="28"/>
  <c r="L134" i="28"/>
  <c r="L133" i="28"/>
  <c r="L132" i="28"/>
  <c r="L131" i="28"/>
  <c r="L130" i="28"/>
  <c r="L129" i="28"/>
  <c r="L128" i="28"/>
  <c r="L127" i="28"/>
  <c r="L126" i="28"/>
  <c r="L125" i="28"/>
  <c r="L124" i="28"/>
  <c r="L123" i="28"/>
  <c r="L122" i="28"/>
  <c r="L121" i="28"/>
  <c r="L120" i="28"/>
  <c r="L119" i="28"/>
  <c r="L118" i="28"/>
  <c r="L117" i="28"/>
  <c r="L116" i="28"/>
  <c r="L115" i="28"/>
  <c r="L114" i="28"/>
  <c r="L113" i="28"/>
  <c r="L112" i="28"/>
  <c r="L111" i="28"/>
  <c r="L110" i="28"/>
  <c r="L109" i="28"/>
  <c r="L108" i="28"/>
  <c r="L107" i="28"/>
  <c r="L106" i="28"/>
  <c r="L105" i="28"/>
  <c r="L104" i="28"/>
  <c r="L103" i="28"/>
  <c r="L102" i="28"/>
  <c r="L101" i="28"/>
  <c r="L100" i="28"/>
  <c r="L99" i="28"/>
  <c r="L98" i="28"/>
  <c r="L97" i="28"/>
  <c r="L96" i="28"/>
  <c r="L95" i="28"/>
  <c r="L94" i="28"/>
  <c r="L93" i="28"/>
  <c r="L92" i="28"/>
  <c r="L91" i="28"/>
  <c r="L90" i="28"/>
  <c r="L89" i="28"/>
  <c r="L88" i="28"/>
  <c r="L87" i="28"/>
  <c r="L86" i="28"/>
  <c r="L85" i="28"/>
  <c r="L84" i="28"/>
  <c r="L83" i="28"/>
  <c r="L82" i="28"/>
  <c r="L81" i="28"/>
  <c r="L80" i="28"/>
  <c r="L79" i="28"/>
  <c r="L78" i="28"/>
  <c r="L77" i="28"/>
  <c r="L76" i="28"/>
  <c r="L75" i="28"/>
  <c r="L74" i="28"/>
  <c r="L73" i="28"/>
  <c r="L72" i="28"/>
  <c r="L71" i="28"/>
  <c r="L70" i="28"/>
  <c r="L69" i="28"/>
  <c r="L68" i="28"/>
  <c r="L67" i="28"/>
  <c r="L66" i="28"/>
  <c r="L65" i="28"/>
  <c r="M65" i="28" s="1"/>
  <c r="L64" i="28"/>
  <c r="L63" i="28"/>
  <c r="M63" i="28" s="1"/>
  <c r="L62" i="28"/>
  <c r="L61" i="28"/>
  <c r="M61" i="28" s="1"/>
  <c r="L60" i="28"/>
  <c r="L59" i="28"/>
  <c r="L58" i="28"/>
  <c r="L57" i="28"/>
  <c r="L56" i="28"/>
  <c r="L55" i="28"/>
  <c r="L54" i="28"/>
  <c r="L53" i="28"/>
  <c r="L52" i="28"/>
  <c r="L51" i="28"/>
  <c r="M51" i="28" s="1"/>
  <c r="L50" i="28"/>
  <c r="L49" i="28"/>
  <c r="M49" i="28" s="1"/>
  <c r="L48" i="28"/>
  <c r="L47" i="28"/>
  <c r="M47" i="28" s="1"/>
  <c r="L46" i="28"/>
  <c r="L45" i="28"/>
  <c r="L44" i="28"/>
  <c r="L43" i="28"/>
  <c r="L42" i="28"/>
  <c r="L41" i="28"/>
  <c r="L40" i="28"/>
  <c r="L39" i="28"/>
  <c r="L38" i="28"/>
  <c r="L37" i="28"/>
  <c r="L36" i="28"/>
  <c r="L35" i="28"/>
  <c r="L34" i="28"/>
  <c r="L33" i="28"/>
  <c r="L32" i="28"/>
  <c r="L31" i="28"/>
  <c r="L30" i="28"/>
  <c r="L29" i="28"/>
  <c r="M29" i="28" s="1"/>
  <c r="L28" i="28"/>
  <c r="L27" i="28"/>
  <c r="M27" i="28" s="1"/>
  <c r="L26" i="28"/>
  <c r="L25" i="28"/>
  <c r="M25" i="28" s="1"/>
  <c r="L24" i="28"/>
  <c r="L23" i="28"/>
  <c r="L22" i="28"/>
  <c r="L21" i="28"/>
  <c r="L20" i="28"/>
  <c r="L19" i="28"/>
  <c r="M19" i="28" s="1"/>
  <c r="L18" i="28"/>
  <c r="L17" i="28"/>
  <c r="L16" i="28"/>
  <c r="L15" i="28"/>
  <c r="M15" i="28" s="1"/>
  <c r="L14" i="28"/>
  <c r="L13" i="28"/>
  <c r="L12" i="28"/>
  <c r="L11" i="28"/>
  <c r="M11" i="28" s="1"/>
  <c r="L10" i="28"/>
  <c r="L9" i="28"/>
  <c r="L8" i="28"/>
  <c r="L7" i="28"/>
  <c r="M7" i="28" s="1"/>
  <c r="L6" i="28"/>
  <c r="L5" i="28"/>
  <c r="L4" i="28"/>
  <c r="I9" i="27"/>
  <c r="H9" i="27"/>
  <c r="G9" i="27"/>
  <c r="F9" i="27"/>
  <c r="E9" i="27"/>
  <c r="D9" i="27"/>
  <c r="C9" i="27"/>
  <c r="B9" i="27"/>
  <c r="I8" i="27"/>
  <c r="H8" i="27"/>
  <c r="G8" i="27"/>
  <c r="F8" i="27"/>
  <c r="E8" i="27"/>
  <c r="D8" i="27"/>
  <c r="C8" i="27"/>
  <c r="B8" i="27"/>
  <c r="I7" i="27"/>
  <c r="H7" i="27"/>
  <c r="G7" i="27"/>
  <c r="F7" i="27"/>
  <c r="E7" i="27"/>
  <c r="D7" i="27"/>
  <c r="C7" i="27"/>
  <c r="B7" i="27"/>
  <c r="I6" i="27"/>
  <c r="H6" i="27"/>
  <c r="G6" i="27"/>
  <c r="F6" i="27"/>
  <c r="E6" i="27"/>
  <c r="D6" i="27"/>
  <c r="C6" i="27"/>
  <c r="B6" i="27"/>
  <c r="I5" i="27"/>
  <c r="I11" i="27" s="1"/>
  <c r="H5" i="27"/>
  <c r="H11" i="27" s="1"/>
  <c r="G5" i="27"/>
  <c r="G11" i="27" s="1"/>
  <c r="F5" i="27"/>
  <c r="F11" i="27" s="1"/>
  <c r="E5" i="27"/>
  <c r="D5" i="27"/>
  <c r="C5" i="27"/>
  <c r="C11" i="27" s="1"/>
  <c r="B5" i="27"/>
  <c r="I4" i="27"/>
  <c r="H4" i="27"/>
  <c r="H12" i="27" s="1"/>
  <c r="G4" i="27"/>
  <c r="F4" i="27"/>
  <c r="E4" i="27"/>
  <c r="E10" i="27" s="1"/>
  <c r="D4" i="27"/>
  <c r="C4" i="27"/>
  <c r="C12" i="27" s="1"/>
  <c r="B4" i="27"/>
  <c r="B10" i="27" s="1"/>
  <c r="K208" i="28"/>
  <c r="K29" i="28"/>
  <c r="K26" i="28"/>
  <c r="K5" i="28"/>
  <c r="K15" i="28"/>
  <c r="K14" i="28"/>
  <c r="K294" i="28"/>
  <c r="K43" i="28"/>
  <c r="K8" i="28"/>
  <c r="K366" i="28"/>
  <c r="K384" i="28"/>
  <c r="K259" i="28"/>
  <c r="K260" i="28"/>
  <c r="K279" i="28"/>
  <c r="K207" i="28"/>
  <c r="K185" i="28"/>
  <c r="K179" i="28"/>
  <c r="K206" i="28"/>
  <c r="K71" i="28"/>
  <c r="K99" i="28"/>
  <c r="K92" i="28"/>
  <c r="K116" i="28"/>
  <c r="K47" i="28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M127" i="28" s="1"/>
  <c r="I12" i="27" l="1"/>
  <c r="F12" i="27"/>
  <c r="E11" i="27"/>
  <c r="D11" i="27"/>
  <c r="D12" i="27"/>
  <c r="O29" i="28"/>
  <c r="G12" i="27"/>
  <c r="J5" i="27"/>
  <c r="J6" i="27"/>
  <c r="J7" i="27"/>
  <c r="J8" i="27"/>
  <c r="J9" i="27"/>
  <c r="O15" i="28"/>
  <c r="O47" i="28"/>
  <c r="K93" i="28"/>
  <c r="K95" i="28"/>
  <c r="K94" i="28"/>
  <c r="K284" i="28"/>
  <c r="K283" i="28"/>
  <c r="K273" i="28"/>
  <c r="K275" i="28"/>
  <c r="K277" i="28"/>
  <c r="K274" i="28"/>
  <c r="K276" i="28"/>
  <c r="K496" i="28"/>
  <c r="K475" i="28"/>
  <c r="K434" i="28"/>
  <c r="K379" i="28"/>
  <c r="K370" i="28"/>
  <c r="K429" i="28"/>
  <c r="K397" i="28"/>
  <c r="K498" i="28"/>
  <c r="K431" i="28"/>
  <c r="K495" i="28"/>
  <c r="K472" i="28"/>
  <c r="K433" i="28"/>
  <c r="K392" i="28"/>
  <c r="K435" i="28"/>
  <c r="K378" i="28"/>
  <c r="K497" i="28"/>
  <c r="K492" i="28"/>
  <c r="K476" i="28"/>
  <c r="K428" i="28"/>
  <c r="K396" i="28"/>
  <c r="K380" i="28"/>
  <c r="K494" i="28"/>
  <c r="K471" i="28"/>
  <c r="K430" i="28"/>
  <c r="K393" i="28"/>
  <c r="K314" i="28"/>
  <c r="K264" i="28"/>
  <c r="K262" i="28"/>
  <c r="K313" i="28"/>
  <c r="K288" i="28"/>
  <c r="K315" i="28"/>
  <c r="K432" i="28"/>
  <c r="K377" i="28"/>
  <c r="K285" i="28"/>
  <c r="K263" i="28"/>
  <c r="K173" i="28"/>
  <c r="K175" i="28"/>
  <c r="K168" i="28"/>
  <c r="K310" i="28"/>
  <c r="K177" i="28"/>
  <c r="K106" i="28"/>
  <c r="K172" i="28"/>
  <c r="K115" i="28"/>
  <c r="K67" i="28"/>
  <c r="K60" i="28"/>
  <c r="K51" i="28"/>
  <c r="O51" i="28" s="1"/>
  <c r="K265" i="28"/>
  <c r="K225" i="28"/>
  <c r="K191" i="28"/>
  <c r="K181" i="28"/>
  <c r="K174" i="28"/>
  <c r="K69" i="28"/>
  <c r="K176" i="28"/>
  <c r="K64" i="28"/>
  <c r="K55" i="28"/>
  <c r="K499" i="28"/>
  <c r="K278" i="28"/>
  <c r="K178" i="28"/>
  <c r="K114" i="28"/>
  <c r="K491" i="28"/>
  <c r="K450" i="28"/>
  <c r="K493" i="28"/>
  <c r="K358" i="28"/>
  <c r="K451" i="28"/>
  <c r="K357" i="28"/>
  <c r="K272" i="28"/>
  <c r="K182" i="28"/>
  <c r="K166" i="28"/>
  <c r="K271" i="28"/>
  <c r="K184" i="28"/>
  <c r="K163" i="28"/>
  <c r="K165" i="28"/>
  <c r="K183" i="28"/>
  <c r="K167" i="28"/>
  <c r="K109" i="28"/>
  <c r="K111" i="28"/>
  <c r="K113" i="28"/>
  <c r="K108" i="28"/>
  <c r="K110" i="28"/>
  <c r="K112" i="28"/>
  <c r="K102" i="28"/>
  <c r="K101" i="28"/>
  <c r="K103" i="28"/>
  <c r="K258" i="28"/>
  <c r="K255" i="28"/>
  <c r="K254" i="28"/>
  <c r="K452" i="28"/>
  <c r="K365" i="28"/>
  <c r="K349" i="28"/>
  <c r="K454" i="28"/>
  <c r="K383" i="28"/>
  <c r="K367" i="28"/>
  <c r="K456" i="28"/>
  <c r="K449" i="28"/>
  <c r="K453" i="28"/>
  <c r="K448" i="28"/>
  <c r="K361" i="28"/>
  <c r="K219" i="28"/>
  <c r="K257" i="28"/>
  <c r="K119" i="28"/>
  <c r="K395" i="28"/>
  <c r="K474" i="28"/>
  <c r="K394" i="28"/>
  <c r="K473" i="28"/>
  <c r="K312" i="28"/>
  <c r="K311" i="28"/>
  <c r="K120" i="28"/>
  <c r="K170" i="28"/>
  <c r="K169" i="28"/>
  <c r="C10" i="27"/>
  <c r="B11" i="27"/>
  <c r="K6" i="28"/>
  <c r="M8" i="28"/>
  <c r="O8" i="28" s="1"/>
  <c r="K13" i="28"/>
  <c r="M17" i="28"/>
  <c r="K22" i="28"/>
  <c r="K32" i="28"/>
  <c r="M42" i="28"/>
  <c r="K45" i="28"/>
  <c r="M52" i="28"/>
  <c r="M57" i="28"/>
  <c r="K66" i="28"/>
  <c r="K72" i="28"/>
  <c r="M81" i="28"/>
  <c r="M86" i="28"/>
  <c r="K91" i="28"/>
  <c r="M100" i="28"/>
  <c r="M118" i="28"/>
  <c r="K155" i="28"/>
  <c r="K240" i="28"/>
  <c r="M246" i="28"/>
  <c r="D10" i="27"/>
  <c r="B12" i="27"/>
  <c r="K4" i="28"/>
  <c r="M6" i="28"/>
  <c r="K11" i="28"/>
  <c r="O11" i="28" s="1"/>
  <c r="K20" i="28"/>
  <c r="M22" i="28"/>
  <c r="K25" i="28"/>
  <c r="O25" i="28" s="1"/>
  <c r="K30" i="28"/>
  <c r="M32" i="28"/>
  <c r="M37" i="28"/>
  <c r="K40" i="28"/>
  <c r="K50" i="28"/>
  <c r="M55" i="28"/>
  <c r="K58" i="28"/>
  <c r="K61" i="28"/>
  <c r="O61" i="28" s="1"/>
  <c r="M69" i="28"/>
  <c r="M91" i="28"/>
  <c r="K107" i="28"/>
  <c r="M119" i="28"/>
  <c r="M125" i="28"/>
  <c r="M131" i="28"/>
  <c r="M143" i="28"/>
  <c r="K180" i="28"/>
  <c r="K227" i="28"/>
  <c r="M4" i="28"/>
  <c r="K9" i="28"/>
  <c r="M13" i="28"/>
  <c r="K18" i="28"/>
  <c r="M20" i="28"/>
  <c r="K33" i="28"/>
  <c r="M35" i="28"/>
  <c r="M40" i="28"/>
  <c r="M45" i="28"/>
  <c r="M50" i="28"/>
  <c r="K53" i="28"/>
  <c r="M58" i="28"/>
  <c r="M77" i="28"/>
  <c r="K82" i="28"/>
  <c r="M87" i="28"/>
  <c r="M97" i="28"/>
  <c r="M102" i="28"/>
  <c r="M107" i="28"/>
  <c r="K132" i="28"/>
  <c r="M150" i="28"/>
  <c r="M214" i="28"/>
  <c r="M300" i="28"/>
  <c r="F10" i="27"/>
  <c r="K7" i="28"/>
  <c r="O7" i="28" s="1"/>
  <c r="K16" i="28"/>
  <c r="M18" i="28"/>
  <c r="K23" i="28"/>
  <c r="M28" i="28"/>
  <c r="K38" i="28"/>
  <c r="K48" i="28"/>
  <c r="K56" i="28"/>
  <c r="M64" i="28"/>
  <c r="K70" i="28"/>
  <c r="K73" i="28"/>
  <c r="K139" i="28"/>
  <c r="M175" i="28"/>
  <c r="K256" i="28"/>
  <c r="K214" i="28"/>
  <c r="K213" i="28"/>
  <c r="K210" i="28"/>
  <c r="K209" i="28"/>
  <c r="K212" i="28"/>
  <c r="K220" i="28"/>
  <c r="K221" i="28"/>
  <c r="K466" i="28"/>
  <c r="K436" i="28"/>
  <c r="K372" i="28"/>
  <c r="K438" i="28"/>
  <c r="K374" i="28"/>
  <c r="K465" i="28"/>
  <c r="K376" i="28"/>
  <c r="K467" i="28"/>
  <c r="K371" i="28"/>
  <c r="K437" i="28"/>
  <c r="K373" i="28"/>
  <c r="K439" i="28"/>
  <c r="K375" i="28"/>
  <c r="K289" i="28"/>
  <c r="K291" i="28"/>
  <c r="K293" i="28"/>
  <c r="K290" i="28"/>
  <c r="K292" i="28"/>
  <c r="K195" i="28"/>
  <c r="K77" i="28"/>
  <c r="K192" i="28"/>
  <c r="K197" i="28"/>
  <c r="K81" i="28"/>
  <c r="K194" i="28"/>
  <c r="K83" i="28"/>
  <c r="K76" i="28"/>
  <c r="K78" i="28"/>
  <c r="K196" i="28"/>
  <c r="K193" i="28"/>
  <c r="K198" i="28"/>
  <c r="K200" i="28"/>
  <c r="K199" i="28"/>
  <c r="E12" i="27"/>
  <c r="G10" i="27"/>
  <c r="M9" i="28"/>
  <c r="M16" i="28"/>
  <c r="K21" i="28"/>
  <c r="M23" i="28"/>
  <c r="K31" i="28"/>
  <c r="M33" i="28"/>
  <c r="K36" i="28"/>
  <c r="M38" i="28"/>
  <c r="K41" i="28"/>
  <c r="M43" i="28"/>
  <c r="O43" i="28" s="1"/>
  <c r="K46" i="28"/>
  <c r="M48" i="28"/>
  <c r="M53" i="28"/>
  <c r="M56" i="28"/>
  <c r="K59" i="28"/>
  <c r="K62" i="28"/>
  <c r="K65" i="28"/>
  <c r="O65" i="28" s="1"/>
  <c r="M67" i="28"/>
  <c r="M70" i="28"/>
  <c r="M93" i="28"/>
  <c r="K98" i="28"/>
  <c r="M103" i="28"/>
  <c r="M109" i="28"/>
  <c r="K164" i="28"/>
  <c r="M182" i="28"/>
  <c r="K243" i="28"/>
  <c r="M272" i="28"/>
  <c r="M280" i="28"/>
  <c r="J4" i="27"/>
  <c r="K97" i="28"/>
  <c r="K96" i="28"/>
  <c r="K280" i="28"/>
  <c r="K282" i="28"/>
  <c r="K281" i="28"/>
  <c r="K298" i="28"/>
  <c r="K300" i="28"/>
  <c r="K304" i="28"/>
  <c r="K299" i="28"/>
  <c r="K301" i="28"/>
  <c r="K303" i="28"/>
  <c r="K261" i="28"/>
  <c r="K268" i="28"/>
  <c r="K266" i="28"/>
  <c r="K267" i="28"/>
  <c r="K88" i="28"/>
  <c r="K90" i="28"/>
  <c r="K217" i="28"/>
  <c r="K218" i="28"/>
  <c r="K363" i="28"/>
  <c r="K362" i="28"/>
  <c r="K364" i="28"/>
  <c r="K468" i="28"/>
  <c r="K470" i="28"/>
  <c r="K390" i="28"/>
  <c r="K469" i="28"/>
  <c r="K391" i="28"/>
  <c r="K307" i="28"/>
  <c r="K309" i="28"/>
  <c r="K308" i="28"/>
  <c r="K223" i="28"/>
  <c r="K79" i="28"/>
  <c r="K74" i="28"/>
  <c r="K222" i="28"/>
  <c r="K80" i="28"/>
  <c r="M479" i="28"/>
  <c r="M503" i="28"/>
  <c r="M495" i="28"/>
  <c r="M488" i="28"/>
  <c r="M481" i="28"/>
  <c r="M472" i="28"/>
  <c r="M465" i="28"/>
  <c r="M456" i="28"/>
  <c r="M449" i="28"/>
  <c r="M440" i="28"/>
  <c r="M433" i="28"/>
  <c r="M424" i="28"/>
  <c r="M417" i="28"/>
  <c r="M408" i="28"/>
  <c r="M401" i="28"/>
  <c r="M392" i="28"/>
  <c r="M385" i="28"/>
  <c r="M376" i="28"/>
  <c r="M369" i="28"/>
  <c r="M360" i="28"/>
  <c r="M483" i="28"/>
  <c r="M497" i="28"/>
  <c r="M492" i="28"/>
  <c r="M485" i="28"/>
  <c r="M476" i="28"/>
  <c r="M469" i="28"/>
  <c r="M460" i="28"/>
  <c r="M453" i="28"/>
  <c r="M444" i="28"/>
  <c r="M437" i="28"/>
  <c r="M428" i="28"/>
  <c r="M421" i="28"/>
  <c r="M412" i="28"/>
  <c r="M405" i="28"/>
  <c r="M396" i="28"/>
  <c r="M389" i="28"/>
  <c r="M380" i="28"/>
  <c r="M373" i="28"/>
  <c r="M364" i="28"/>
  <c r="M357" i="28"/>
  <c r="M487" i="28"/>
  <c r="M471" i="28"/>
  <c r="M462" i="28"/>
  <c r="M455" i="28"/>
  <c r="M446" i="28"/>
  <c r="M439" i="28"/>
  <c r="M430" i="28"/>
  <c r="M423" i="28"/>
  <c r="M414" i="28"/>
  <c r="M407" i="28"/>
  <c r="M398" i="28"/>
  <c r="M391" i="28"/>
  <c r="M382" i="28"/>
  <c r="M375" i="28"/>
  <c r="M366" i="28"/>
  <c r="O366" i="28" s="1"/>
  <c r="M359" i="28"/>
  <c r="M350" i="28"/>
  <c r="M343" i="28"/>
  <c r="M334" i="28"/>
  <c r="M332" i="28"/>
  <c r="M330" i="28"/>
  <c r="M499" i="28"/>
  <c r="M489" i="28"/>
  <c r="M464" i="28"/>
  <c r="M457" i="28"/>
  <c r="M448" i="28"/>
  <c r="M441" i="28"/>
  <c r="M432" i="28"/>
  <c r="M425" i="28"/>
  <c r="M416" i="28"/>
  <c r="M409" i="28"/>
  <c r="M400" i="28"/>
  <c r="M393" i="28"/>
  <c r="M384" i="28"/>
  <c r="O384" i="28" s="1"/>
  <c r="M377" i="28"/>
  <c r="M368" i="28"/>
  <c r="M361" i="28"/>
  <c r="M352" i="28"/>
  <c r="M345" i="28"/>
  <c r="M336" i="28"/>
  <c r="M491" i="28"/>
  <c r="M475" i="28"/>
  <c r="M436" i="28"/>
  <c r="M381" i="28"/>
  <c r="M341" i="28"/>
  <c r="M484" i="28"/>
  <c r="M429" i="28"/>
  <c r="M356" i="28"/>
  <c r="M324" i="28"/>
  <c r="M316" i="28"/>
  <c r="M302" i="28"/>
  <c r="M286" i="28"/>
  <c r="M270" i="28"/>
  <c r="M477" i="28"/>
  <c r="M404" i="28"/>
  <c r="M340" i="28"/>
  <c r="M501" i="28"/>
  <c r="M452" i="28"/>
  <c r="M397" i="28"/>
  <c r="M349" i="28"/>
  <c r="M326" i="28"/>
  <c r="M318" i="28"/>
  <c r="M306" i="28"/>
  <c r="M290" i="28"/>
  <c r="M274" i="28"/>
  <c r="M445" i="28"/>
  <c r="M372" i="28"/>
  <c r="M339" i="28"/>
  <c r="M308" i="28"/>
  <c r="M292" i="28"/>
  <c r="M276" i="28"/>
  <c r="M267" i="28"/>
  <c r="M265" i="28"/>
  <c r="M263" i="28"/>
  <c r="M261" i="28"/>
  <c r="M259" i="28"/>
  <c r="O259" i="28" s="1"/>
  <c r="M257" i="28"/>
  <c r="M255" i="28"/>
  <c r="M253" i="28"/>
  <c r="M251" i="28"/>
  <c r="M249" i="28"/>
  <c r="M247" i="28"/>
  <c r="M245" i="28"/>
  <c r="M243" i="28"/>
  <c r="M241" i="28"/>
  <c r="M239" i="28"/>
  <c r="M237" i="28"/>
  <c r="M235" i="28"/>
  <c r="M233" i="28"/>
  <c r="M231" i="28"/>
  <c r="M229" i="28"/>
  <c r="M227" i="28"/>
  <c r="M225" i="28"/>
  <c r="M223" i="28"/>
  <c r="M221" i="28"/>
  <c r="M219" i="28"/>
  <c r="M217" i="28"/>
  <c r="M215" i="28"/>
  <c r="M213" i="28"/>
  <c r="M211" i="28"/>
  <c r="M209" i="28"/>
  <c r="M207" i="28"/>
  <c r="O207" i="28" s="1"/>
  <c r="M205" i="28"/>
  <c r="M203" i="28"/>
  <c r="M201" i="28"/>
  <c r="M199" i="28"/>
  <c r="M197" i="28"/>
  <c r="M493" i="28"/>
  <c r="M420" i="28"/>
  <c r="M365" i="28"/>
  <c r="M348" i="28"/>
  <c r="M328" i="28"/>
  <c r="M320" i="28"/>
  <c r="M468" i="28"/>
  <c r="M413" i="28"/>
  <c r="M189" i="28"/>
  <c r="M177" i="28"/>
  <c r="M161" i="28"/>
  <c r="M145" i="28"/>
  <c r="M129" i="28"/>
  <c r="M113" i="28"/>
  <c r="M388" i="28"/>
  <c r="M322" i="28"/>
  <c r="M298" i="28"/>
  <c r="M179" i="28"/>
  <c r="M163" i="28"/>
  <c r="M147" i="28"/>
  <c r="M115" i="28"/>
  <c r="M99" i="28"/>
  <c r="O99" i="28" s="1"/>
  <c r="M83" i="28"/>
  <c r="M191" i="28"/>
  <c r="M181" i="28"/>
  <c r="M165" i="28"/>
  <c r="M149" i="28"/>
  <c r="M133" i="28"/>
  <c r="M117" i="28"/>
  <c r="M101" i="28"/>
  <c r="M85" i="28"/>
  <c r="M183" i="28"/>
  <c r="M167" i="28"/>
  <c r="M151" i="28"/>
  <c r="M314" i="28"/>
  <c r="M193" i="28"/>
  <c r="M185" i="28"/>
  <c r="O185" i="28" s="1"/>
  <c r="M169" i="28"/>
  <c r="M153" i="28"/>
  <c r="M137" i="28"/>
  <c r="M121" i="28"/>
  <c r="M105" i="28"/>
  <c r="M89" i="28"/>
  <c r="M73" i="28"/>
  <c r="M461" i="28"/>
  <c r="M171" i="28"/>
  <c r="M155" i="28"/>
  <c r="M139" i="28"/>
  <c r="M195" i="28"/>
  <c r="M187" i="28"/>
  <c r="M173" i="28"/>
  <c r="M157" i="28"/>
  <c r="M141" i="28"/>
  <c r="K356" i="28"/>
  <c r="K355" i="28"/>
  <c r="K86" i="28"/>
  <c r="O86" i="28" s="1"/>
  <c r="K85" i="28"/>
  <c r="K87" i="28"/>
  <c r="K187" i="28"/>
  <c r="K186" i="28"/>
  <c r="K188" i="28"/>
  <c r="K296" i="28"/>
  <c r="K295" i="28"/>
  <c r="K297" i="28"/>
  <c r="K347" i="28"/>
  <c r="K346" i="28"/>
  <c r="K348" i="28"/>
  <c r="K350" i="28"/>
  <c r="K354" i="28"/>
  <c r="K351" i="28"/>
  <c r="K353" i="28"/>
  <c r="K369" i="28"/>
  <c r="O369" i="28" s="1"/>
  <c r="K368" i="28"/>
  <c r="O368" i="28" s="1"/>
  <c r="K286" i="28"/>
  <c r="K287" i="28"/>
  <c r="K104" i="28"/>
  <c r="K189" i="28"/>
  <c r="K105" i="28"/>
  <c r="O105" i="28" s="1"/>
  <c r="K482" i="28"/>
  <c r="K411" i="28"/>
  <c r="K402" i="28"/>
  <c r="K501" i="28"/>
  <c r="K477" i="28"/>
  <c r="O477" i="28" s="1"/>
  <c r="K404" i="28"/>
  <c r="O404" i="28" s="1"/>
  <c r="K479" i="28"/>
  <c r="K406" i="28"/>
  <c r="K399" i="28"/>
  <c r="K481" i="28"/>
  <c r="O481" i="28" s="1"/>
  <c r="K408" i="28"/>
  <c r="K401" i="28"/>
  <c r="K500" i="28"/>
  <c r="K410" i="28"/>
  <c r="K403" i="28"/>
  <c r="K405" i="28"/>
  <c r="K502" i="28"/>
  <c r="K478" i="28"/>
  <c r="K407" i="28"/>
  <c r="K398" i="28"/>
  <c r="K326" i="28"/>
  <c r="K324" i="28"/>
  <c r="K322" i="28"/>
  <c r="K320" i="28"/>
  <c r="O320" i="28" s="1"/>
  <c r="K318" i="28"/>
  <c r="K316" i="28"/>
  <c r="K400" i="28"/>
  <c r="K327" i="28"/>
  <c r="K319" i="28"/>
  <c r="K321" i="28"/>
  <c r="K409" i="28"/>
  <c r="K323" i="28"/>
  <c r="K233" i="28"/>
  <c r="K230" i="28"/>
  <c r="K125" i="28"/>
  <c r="K317" i="28"/>
  <c r="K127" i="28"/>
  <c r="O127" i="28" s="1"/>
  <c r="K480" i="28"/>
  <c r="K229" i="28"/>
  <c r="K226" i="28"/>
  <c r="K129" i="28"/>
  <c r="K235" i="28"/>
  <c r="K232" i="28"/>
  <c r="K131" i="28"/>
  <c r="K124" i="28"/>
  <c r="K28" i="28"/>
  <c r="K133" i="28"/>
  <c r="K126" i="28"/>
  <c r="K231" i="28"/>
  <c r="O231" i="28" s="1"/>
  <c r="K228" i="28"/>
  <c r="K128" i="28"/>
  <c r="K325" i="28"/>
  <c r="K234" i="28"/>
  <c r="K130" i="28"/>
  <c r="H10" i="27"/>
  <c r="K12" i="28"/>
  <c r="M14" i="28"/>
  <c r="O14" i="28" s="1"/>
  <c r="K19" i="28"/>
  <c r="O19" i="28" s="1"/>
  <c r="M26" i="28"/>
  <c r="O26" i="28" s="1"/>
  <c r="M36" i="28"/>
  <c r="K49" i="28"/>
  <c r="O49" i="28" s="1"/>
  <c r="M59" i="28"/>
  <c r="M79" i="28"/>
  <c r="K84" i="28"/>
  <c r="K89" i="28"/>
  <c r="M134" i="28"/>
  <c r="K171" i="28"/>
  <c r="K190" i="28"/>
  <c r="K224" i="28"/>
  <c r="M230" i="28"/>
  <c r="K44" i="28"/>
  <c r="K35" i="28"/>
  <c r="O35" i="28" s="1"/>
  <c r="K360" i="28"/>
  <c r="K359" i="28"/>
  <c r="K122" i="28"/>
  <c r="K121" i="28"/>
  <c r="O179" i="28"/>
  <c r="K216" i="28"/>
  <c r="K215" i="28"/>
  <c r="K388" i="28"/>
  <c r="K389" i="28"/>
  <c r="K386" i="28"/>
  <c r="K385" i="28"/>
  <c r="K305" i="28"/>
  <c r="K306" i="28"/>
  <c r="K427" i="28"/>
  <c r="K418" i="28"/>
  <c r="K338" i="28"/>
  <c r="K484" i="28"/>
  <c r="K420" i="28"/>
  <c r="O420" i="28" s="1"/>
  <c r="K413" i="28"/>
  <c r="K340" i="28"/>
  <c r="K486" i="28"/>
  <c r="K422" i="28"/>
  <c r="K415" i="28"/>
  <c r="K342" i="28"/>
  <c r="K503" i="28"/>
  <c r="K488" i="28"/>
  <c r="K424" i="28"/>
  <c r="O424" i="28" s="1"/>
  <c r="K417" i="28"/>
  <c r="O417" i="28" s="1"/>
  <c r="K490" i="28"/>
  <c r="K483" i="28"/>
  <c r="O483" i="28" s="1"/>
  <c r="K426" i="28"/>
  <c r="K419" i="28"/>
  <c r="K339" i="28"/>
  <c r="K485" i="28"/>
  <c r="K421" i="28"/>
  <c r="K412" i="28"/>
  <c r="K341" i="28"/>
  <c r="O341" i="28" s="1"/>
  <c r="K487" i="28"/>
  <c r="O487" i="28" s="1"/>
  <c r="K423" i="28"/>
  <c r="O423" i="28" s="1"/>
  <c r="K414" i="28"/>
  <c r="O414" i="28" s="1"/>
  <c r="K343" i="28"/>
  <c r="K334" i="28"/>
  <c r="O334" i="28" s="1"/>
  <c r="K332" i="28"/>
  <c r="O332" i="28" s="1"/>
  <c r="K330" i="28"/>
  <c r="O330" i="28" s="1"/>
  <c r="K328" i="28"/>
  <c r="K337" i="28"/>
  <c r="K333" i="28"/>
  <c r="K345" i="28"/>
  <c r="K336" i="28"/>
  <c r="K489" i="28"/>
  <c r="K416" i="28"/>
  <c r="K329" i="28"/>
  <c r="K344" i="28"/>
  <c r="K335" i="28"/>
  <c r="K331" i="28"/>
  <c r="K249" i="28"/>
  <c r="O249" i="28" s="1"/>
  <c r="K246" i="28"/>
  <c r="K157" i="28"/>
  <c r="K150" i="28"/>
  <c r="K141" i="28"/>
  <c r="K134" i="28"/>
  <c r="K252" i="28"/>
  <c r="K239" i="28"/>
  <c r="K236" i="28"/>
  <c r="K159" i="28"/>
  <c r="K152" i="28"/>
  <c r="K143" i="28"/>
  <c r="K136" i="28"/>
  <c r="K245" i="28"/>
  <c r="K242" i="28"/>
  <c r="K154" i="28"/>
  <c r="K145" i="28"/>
  <c r="K138" i="28"/>
  <c r="K425" i="28"/>
  <c r="O425" i="28" s="1"/>
  <c r="K251" i="28"/>
  <c r="K248" i="28"/>
  <c r="K156" i="28"/>
  <c r="K147" i="28"/>
  <c r="O147" i="28" s="1"/>
  <c r="K140" i="28"/>
  <c r="K241" i="28"/>
  <c r="O241" i="28" s="1"/>
  <c r="K238" i="28"/>
  <c r="K158" i="28"/>
  <c r="K149" i="28"/>
  <c r="K142" i="28"/>
  <c r="K247" i="28"/>
  <c r="K244" i="28"/>
  <c r="K151" i="28"/>
  <c r="O151" i="28" s="1"/>
  <c r="K144" i="28"/>
  <c r="K135" i="28"/>
  <c r="K253" i="28"/>
  <c r="K250" i="28"/>
  <c r="K237" i="28"/>
  <c r="K153" i="28"/>
  <c r="K146" i="28"/>
  <c r="K137" i="28"/>
  <c r="I10" i="27"/>
  <c r="M5" i="28"/>
  <c r="O5" i="28" s="1"/>
  <c r="K10" i="28"/>
  <c r="M12" i="28"/>
  <c r="K17" i="28"/>
  <c r="M21" i="28"/>
  <c r="K24" i="28"/>
  <c r="M31" i="28"/>
  <c r="K34" i="28"/>
  <c r="K39" i="28"/>
  <c r="M41" i="28"/>
  <c r="M44" i="28"/>
  <c r="K54" i="28"/>
  <c r="K57" i="28"/>
  <c r="K68" i="28"/>
  <c r="M71" i="28"/>
  <c r="O71" i="28" s="1"/>
  <c r="K75" i="28"/>
  <c r="M84" i="28"/>
  <c r="K123" i="28"/>
  <c r="M135" i="28"/>
  <c r="M159" i="28"/>
  <c r="K211" i="28"/>
  <c r="M312" i="28"/>
  <c r="K352" i="28"/>
  <c r="K118" i="28"/>
  <c r="K117" i="28"/>
  <c r="K161" i="28"/>
  <c r="K160" i="28"/>
  <c r="K162" i="28"/>
  <c r="K201" i="28"/>
  <c r="K204" i="28"/>
  <c r="K203" i="28"/>
  <c r="O203" i="28" s="1"/>
  <c r="K205" i="28"/>
  <c r="K202" i="28"/>
  <c r="K381" i="28"/>
  <c r="K382" i="28"/>
  <c r="O382" i="28" s="1"/>
  <c r="K459" i="28"/>
  <c r="K443" i="28"/>
  <c r="K461" i="28"/>
  <c r="K445" i="28"/>
  <c r="K463" i="28"/>
  <c r="K447" i="28"/>
  <c r="K440" i="28"/>
  <c r="K458" i="28"/>
  <c r="K442" i="28"/>
  <c r="K460" i="28"/>
  <c r="K444" i="28"/>
  <c r="O444" i="28" s="1"/>
  <c r="K462" i="28"/>
  <c r="K446" i="28"/>
  <c r="O446" i="28" s="1"/>
  <c r="K441" i="28"/>
  <c r="K464" i="28"/>
  <c r="K457" i="28"/>
  <c r="K270" i="28"/>
  <c r="O270" i="28" s="1"/>
  <c r="K269" i="28"/>
  <c r="K387" i="28"/>
  <c r="K455" i="28"/>
  <c r="K302" i="28"/>
  <c r="M10" i="28"/>
  <c r="M24" i="28"/>
  <c r="K27" i="28"/>
  <c r="O27" i="28" s="1"/>
  <c r="M34" i="28"/>
  <c r="K37" i="28"/>
  <c r="M39" i="28"/>
  <c r="K42" i="28"/>
  <c r="K52" i="28"/>
  <c r="M54" i="28"/>
  <c r="M60" i="28"/>
  <c r="K63" i="28"/>
  <c r="O63" i="28" s="1"/>
  <c r="M68" i="28"/>
  <c r="M75" i="28"/>
  <c r="M95" i="28"/>
  <c r="K100" i="28"/>
  <c r="M111" i="28"/>
  <c r="M123" i="28"/>
  <c r="K148" i="28"/>
  <c r="M166" i="28"/>
  <c r="M198" i="28"/>
  <c r="M282" i="28"/>
  <c r="M116" i="28"/>
  <c r="O116" i="28" s="1"/>
  <c r="M132" i="28"/>
  <c r="M148" i="28"/>
  <c r="M164" i="28"/>
  <c r="M180" i="28"/>
  <c r="M190" i="28"/>
  <c r="M208" i="28"/>
  <c r="O208" i="28" s="1"/>
  <c r="M224" i="28"/>
  <c r="M240" i="28"/>
  <c r="M256" i="28"/>
  <c r="M260" i="28"/>
  <c r="O260" i="28" s="1"/>
  <c r="M264" i="28"/>
  <c r="M268" i="28"/>
  <c r="M273" i="28"/>
  <c r="M288" i="28"/>
  <c r="M294" i="28"/>
  <c r="O294" i="28" s="1"/>
  <c r="M337" i="28"/>
  <c r="M66" i="28"/>
  <c r="M82" i="28"/>
  <c r="M98" i="28"/>
  <c r="M114" i="28"/>
  <c r="M130" i="28"/>
  <c r="M146" i="28"/>
  <c r="M162" i="28"/>
  <c r="M178" i="28"/>
  <c r="M202" i="28"/>
  <c r="M218" i="28"/>
  <c r="M234" i="28"/>
  <c r="M250" i="28"/>
  <c r="M278" i="28"/>
  <c r="M289" i="28"/>
  <c r="M80" i="28"/>
  <c r="M96" i="28"/>
  <c r="M112" i="28"/>
  <c r="M128" i="28"/>
  <c r="M144" i="28"/>
  <c r="M160" i="28"/>
  <c r="M176" i="28"/>
  <c r="M188" i="28"/>
  <c r="M196" i="28"/>
  <c r="M212" i="28"/>
  <c r="M228" i="28"/>
  <c r="M244" i="28"/>
  <c r="M284" i="28"/>
  <c r="M296" i="28"/>
  <c r="M347" i="28"/>
  <c r="M370" i="28"/>
  <c r="M431" i="28"/>
  <c r="M30" i="28"/>
  <c r="M46" i="28"/>
  <c r="M62" i="28"/>
  <c r="M78" i="28"/>
  <c r="M94" i="28"/>
  <c r="M110" i="28"/>
  <c r="M126" i="28"/>
  <c r="M142" i="28"/>
  <c r="M158" i="28"/>
  <c r="M174" i="28"/>
  <c r="M206" i="28"/>
  <c r="O206" i="28" s="1"/>
  <c r="M222" i="28"/>
  <c r="M238" i="28"/>
  <c r="M254" i="28"/>
  <c r="M394" i="28"/>
  <c r="M486" i="28"/>
  <c r="M76" i="28"/>
  <c r="M92" i="28"/>
  <c r="O92" i="28" s="1"/>
  <c r="M108" i="28"/>
  <c r="M124" i="28"/>
  <c r="M140" i="28"/>
  <c r="M156" i="28"/>
  <c r="M172" i="28"/>
  <c r="M186" i="28"/>
  <c r="M194" i="28"/>
  <c r="M200" i="28"/>
  <c r="M216" i="28"/>
  <c r="M232" i="28"/>
  <c r="M248" i="28"/>
  <c r="M258" i="28"/>
  <c r="M262" i="28"/>
  <c r="M266" i="28"/>
  <c r="M74" i="28"/>
  <c r="M90" i="28"/>
  <c r="M106" i="28"/>
  <c r="M122" i="28"/>
  <c r="M138" i="28"/>
  <c r="M154" i="28"/>
  <c r="M170" i="28"/>
  <c r="M210" i="28"/>
  <c r="M226" i="28"/>
  <c r="M242" i="28"/>
  <c r="M304" i="28"/>
  <c r="M310" i="28"/>
  <c r="M342" i="28"/>
  <c r="M419" i="28"/>
  <c r="M473" i="28"/>
  <c r="M72" i="28"/>
  <c r="M88" i="28"/>
  <c r="M104" i="28"/>
  <c r="M120" i="28"/>
  <c r="M136" i="28"/>
  <c r="M152" i="28"/>
  <c r="M168" i="28"/>
  <c r="M184" i="28"/>
  <c r="M192" i="28"/>
  <c r="M204" i="28"/>
  <c r="M220" i="28"/>
  <c r="M236" i="28"/>
  <c r="M252" i="28"/>
  <c r="M271" i="28"/>
  <c r="M305" i="28"/>
  <c r="M358" i="28"/>
  <c r="M443" i="28"/>
  <c r="M287" i="28"/>
  <c r="M303" i="28"/>
  <c r="M317" i="28"/>
  <c r="M325" i="28"/>
  <c r="M338" i="28"/>
  <c r="M371" i="28"/>
  <c r="M383" i="28"/>
  <c r="M395" i="28"/>
  <c r="M438" i="28"/>
  <c r="M450" i="28"/>
  <c r="M474" i="28"/>
  <c r="M480" i="28"/>
  <c r="M269" i="28"/>
  <c r="M285" i="28"/>
  <c r="M301" i="28"/>
  <c r="M331" i="28"/>
  <c r="M353" i="28"/>
  <c r="M390" i="28"/>
  <c r="M402" i="28"/>
  <c r="M426" i="28"/>
  <c r="M451" i="28"/>
  <c r="M463" i="28"/>
  <c r="M283" i="28"/>
  <c r="M299" i="28"/>
  <c r="M315" i="28"/>
  <c r="M323" i="28"/>
  <c r="M354" i="28"/>
  <c r="M378" i="28"/>
  <c r="M403" i="28"/>
  <c r="M415" i="28"/>
  <c r="M427" i="28"/>
  <c r="M470" i="28"/>
  <c r="M482" i="28"/>
  <c r="M281" i="28"/>
  <c r="M297" i="28"/>
  <c r="M313" i="28"/>
  <c r="M335" i="28"/>
  <c r="M344" i="28"/>
  <c r="M355" i="28"/>
  <c r="M367" i="28"/>
  <c r="M379" i="28"/>
  <c r="M422" i="28"/>
  <c r="M434" i="28"/>
  <c r="M458" i="28"/>
  <c r="M279" i="28"/>
  <c r="O279" i="28" s="1"/>
  <c r="M295" i="28"/>
  <c r="M311" i="28"/>
  <c r="M321" i="28"/>
  <c r="M329" i="28"/>
  <c r="M374" i="28"/>
  <c r="M386" i="28"/>
  <c r="M410" i="28"/>
  <c r="M435" i="28"/>
  <c r="M447" i="28"/>
  <c r="M459" i="28"/>
  <c r="M496" i="28"/>
  <c r="M277" i="28"/>
  <c r="M293" i="28"/>
  <c r="M309" i="28"/>
  <c r="M362" i="28"/>
  <c r="M387" i="28"/>
  <c r="M399" i="28"/>
  <c r="M411" i="28"/>
  <c r="M454" i="28"/>
  <c r="M466" i="28"/>
  <c r="M478" i="28"/>
  <c r="M490" i="28"/>
  <c r="M275" i="28"/>
  <c r="M291" i="28"/>
  <c r="M307" i="28"/>
  <c r="M319" i="28"/>
  <c r="M327" i="28"/>
  <c r="M333" i="28"/>
  <c r="M346" i="28"/>
  <c r="M351" i="28"/>
  <c r="M363" i="28"/>
  <c r="M406" i="28"/>
  <c r="M418" i="28"/>
  <c r="M442" i="28"/>
  <c r="M467" i="28"/>
  <c r="M494" i="28"/>
  <c r="M502" i="28"/>
  <c r="M500" i="28"/>
  <c r="M498" i="28"/>
  <c r="O149" i="28" l="1"/>
  <c r="O150" i="28"/>
  <c r="O416" i="28"/>
  <c r="O125" i="28"/>
  <c r="O161" i="28"/>
  <c r="O52" i="28"/>
  <c r="O118" i="28"/>
  <c r="O28" i="28"/>
  <c r="O328" i="28"/>
  <c r="O141" i="28"/>
  <c r="O340" i="28"/>
  <c r="O461" i="28"/>
  <c r="O251" i="28"/>
  <c r="O421" i="28"/>
  <c r="O400" i="28"/>
  <c r="O464" i="28"/>
  <c r="O359" i="28"/>
  <c r="O117" i="28"/>
  <c r="O336" i="28"/>
  <c r="O129" i="28"/>
  <c r="O485" i="28"/>
  <c r="O235" i="28"/>
  <c r="O356" i="28"/>
  <c r="O479" i="28"/>
  <c r="O201" i="28"/>
  <c r="O57" i="28"/>
  <c r="O17" i="28"/>
  <c r="O412" i="28"/>
  <c r="O87" i="28"/>
  <c r="O350" i="28"/>
  <c r="O457" i="28"/>
  <c r="O385" i="28"/>
  <c r="O324" i="28"/>
  <c r="O246" i="28"/>
  <c r="J11" i="27"/>
  <c r="O441" i="28"/>
  <c r="O462" i="28"/>
  <c r="O214" i="28"/>
  <c r="O460" i="28"/>
  <c r="O245" i="28"/>
  <c r="O134" i="28"/>
  <c r="O413" i="28"/>
  <c r="O381" i="28"/>
  <c r="O488" i="28"/>
  <c r="O339" i="28"/>
  <c r="O389" i="28"/>
  <c r="O42" i="28"/>
  <c r="O455" i="28"/>
  <c r="O236" i="28"/>
  <c r="O419" i="28"/>
  <c r="O388" i="28"/>
  <c r="O360" i="28"/>
  <c r="O189" i="28"/>
  <c r="O284" i="28"/>
  <c r="O38" i="28"/>
  <c r="O102" i="28"/>
  <c r="O357" i="28"/>
  <c r="O393" i="28"/>
  <c r="O37" i="28"/>
  <c r="O24" i="28"/>
  <c r="O211" i="28"/>
  <c r="O97" i="28"/>
  <c r="O269" i="28"/>
  <c r="O121" i="28"/>
  <c r="O286" i="28"/>
  <c r="O183" i="28"/>
  <c r="O278" i="28"/>
  <c r="O191" i="28"/>
  <c r="O106" i="28"/>
  <c r="O377" i="28"/>
  <c r="O492" i="28"/>
  <c r="O431" i="28"/>
  <c r="O496" i="28"/>
  <c r="O306" i="28"/>
  <c r="O237" i="28"/>
  <c r="O131" i="28"/>
  <c r="O398" i="28"/>
  <c r="O401" i="28"/>
  <c r="O501" i="28"/>
  <c r="O81" i="28"/>
  <c r="O18" i="28"/>
  <c r="O250" i="28"/>
  <c r="O143" i="28"/>
  <c r="O171" i="28"/>
  <c r="O408" i="28"/>
  <c r="O300" i="28"/>
  <c r="O198" i="28"/>
  <c r="O197" i="28"/>
  <c r="O289" i="28"/>
  <c r="O465" i="28"/>
  <c r="O139" i="28"/>
  <c r="O132" i="28"/>
  <c r="O53" i="28"/>
  <c r="O40" i="28"/>
  <c r="O45" i="28"/>
  <c r="O394" i="28"/>
  <c r="O453" i="28"/>
  <c r="O266" i="28"/>
  <c r="O253" i="28"/>
  <c r="O152" i="28"/>
  <c r="O302" i="28"/>
  <c r="O205" i="28"/>
  <c r="O135" i="28"/>
  <c r="O238" i="28"/>
  <c r="O138" i="28"/>
  <c r="O159" i="28"/>
  <c r="O484" i="28"/>
  <c r="O89" i="28"/>
  <c r="O233" i="28"/>
  <c r="O318" i="28"/>
  <c r="O502" i="28"/>
  <c r="O399" i="28"/>
  <c r="O295" i="28"/>
  <c r="O309" i="28"/>
  <c r="O362" i="28"/>
  <c r="O77" i="28"/>
  <c r="O489" i="28"/>
  <c r="O34" i="28"/>
  <c r="O144" i="28"/>
  <c r="O145" i="28"/>
  <c r="O345" i="28"/>
  <c r="O342" i="28"/>
  <c r="O338" i="28"/>
  <c r="O157" i="28"/>
  <c r="O75" i="28"/>
  <c r="O387" i="28"/>
  <c r="O352" i="28"/>
  <c r="O137" i="28"/>
  <c r="O140" i="28"/>
  <c r="O239" i="28"/>
  <c r="O133" i="28"/>
  <c r="O229" i="28"/>
  <c r="O409" i="28"/>
  <c r="O322" i="28"/>
  <c r="O443" i="28"/>
  <c r="O204" i="28"/>
  <c r="O154" i="28"/>
  <c r="O331" i="28"/>
  <c r="O333" i="28"/>
  <c r="O426" i="28"/>
  <c r="O415" i="28"/>
  <c r="O418" i="28"/>
  <c r="O215" i="28"/>
  <c r="O84" i="28"/>
  <c r="O12" i="28"/>
  <c r="O126" i="28"/>
  <c r="O226" i="28"/>
  <c r="O323" i="28"/>
  <c r="O405" i="28"/>
  <c r="O406" i="28"/>
  <c r="O351" i="28"/>
  <c r="O296" i="28"/>
  <c r="O307" i="28"/>
  <c r="O363" i="28"/>
  <c r="O268" i="28"/>
  <c r="O298" i="28"/>
  <c r="O46" i="28"/>
  <c r="O21" i="28"/>
  <c r="O193" i="28"/>
  <c r="O192" i="28"/>
  <c r="O375" i="28"/>
  <c r="O374" i="28"/>
  <c r="O212" i="28"/>
  <c r="O73" i="28"/>
  <c r="O9" i="28"/>
  <c r="O107" i="28"/>
  <c r="O4" i="28"/>
  <c r="O91" i="28"/>
  <c r="O474" i="28"/>
  <c r="O449" i="28"/>
  <c r="O112" i="28"/>
  <c r="O165" i="28"/>
  <c r="O451" i="28"/>
  <c r="O499" i="28"/>
  <c r="O225" i="28"/>
  <c r="O177" i="28"/>
  <c r="O432" i="28"/>
  <c r="O430" i="28"/>
  <c r="O497" i="28"/>
  <c r="O498" i="28"/>
  <c r="O442" i="28"/>
  <c r="O459" i="28"/>
  <c r="O68" i="28"/>
  <c r="O146" i="28"/>
  <c r="O244" i="28"/>
  <c r="O242" i="28"/>
  <c r="O252" i="28"/>
  <c r="O335" i="28"/>
  <c r="O337" i="28"/>
  <c r="O422" i="28"/>
  <c r="O427" i="28"/>
  <c r="O216" i="28"/>
  <c r="O44" i="28"/>
  <c r="O403" i="28"/>
  <c r="O354" i="28"/>
  <c r="O188" i="28"/>
  <c r="O80" i="28"/>
  <c r="O391" i="28"/>
  <c r="O281" i="28"/>
  <c r="O243" i="28"/>
  <c r="O196" i="28"/>
  <c r="O439" i="28"/>
  <c r="O438" i="28"/>
  <c r="O209" i="28"/>
  <c r="O70" i="28"/>
  <c r="O16" i="28"/>
  <c r="O32" i="28"/>
  <c r="O169" i="28"/>
  <c r="O395" i="28"/>
  <c r="O456" i="28"/>
  <c r="O254" i="28"/>
  <c r="O110" i="28"/>
  <c r="O163" i="28"/>
  <c r="O358" i="28"/>
  <c r="O55" i="28"/>
  <c r="O265" i="28"/>
  <c r="O310" i="28"/>
  <c r="O315" i="28"/>
  <c r="O471" i="28"/>
  <c r="O378" i="28"/>
  <c r="O397" i="28"/>
  <c r="O276" i="28"/>
  <c r="O94" i="28"/>
  <c r="O355" i="28"/>
  <c r="O23" i="28"/>
  <c r="O458" i="28"/>
  <c r="O162" i="28"/>
  <c r="O153" i="28"/>
  <c r="O344" i="28"/>
  <c r="O490" i="28"/>
  <c r="O486" i="28"/>
  <c r="O130" i="28"/>
  <c r="O480" i="28"/>
  <c r="O321" i="28"/>
  <c r="O410" i="28"/>
  <c r="O104" i="28"/>
  <c r="O186" i="28"/>
  <c r="O222" i="28"/>
  <c r="O469" i="28"/>
  <c r="O218" i="28"/>
  <c r="O261" i="28"/>
  <c r="O282" i="28"/>
  <c r="O41" i="28"/>
  <c r="O78" i="28"/>
  <c r="O195" i="28"/>
  <c r="O373" i="28"/>
  <c r="O372" i="28"/>
  <c r="O210" i="28"/>
  <c r="O227" i="28"/>
  <c r="O30" i="28"/>
  <c r="O22" i="28"/>
  <c r="O170" i="28"/>
  <c r="O119" i="28"/>
  <c r="O367" i="28"/>
  <c r="O255" i="28"/>
  <c r="O108" i="28"/>
  <c r="O184" i="28"/>
  <c r="O493" i="28"/>
  <c r="O64" i="28"/>
  <c r="O168" i="28"/>
  <c r="O288" i="28"/>
  <c r="O494" i="28"/>
  <c r="O435" i="28"/>
  <c r="O429" i="28"/>
  <c r="O274" i="28"/>
  <c r="O95" i="28"/>
  <c r="O247" i="28"/>
  <c r="O156" i="28"/>
  <c r="O148" i="28"/>
  <c r="O440" i="28"/>
  <c r="O160" i="28"/>
  <c r="O54" i="28"/>
  <c r="O142" i="28"/>
  <c r="O248" i="28"/>
  <c r="O136" i="28"/>
  <c r="O329" i="28"/>
  <c r="O305" i="28"/>
  <c r="O224" i="28"/>
  <c r="O234" i="28"/>
  <c r="O124" i="28"/>
  <c r="O319" i="28"/>
  <c r="O326" i="28"/>
  <c r="O500" i="28"/>
  <c r="O287" i="28"/>
  <c r="O348" i="28"/>
  <c r="O187" i="28"/>
  <c r="O74" i="28"/>
  <c r="O390" i="28"/>
  <c r="O217" i="28"/>
  <c r="O303" i="28"/>
  <c r="O280" i="28"/>
  <c r="O164" i="28"/>
  <c r="O62" i="28"/>
  <c r="O76" i="28"/>
  <c r="O292" i="28"/>
  <c r="O437" i="28"/>
  <c r="O436" i="28"/>
  <c r="O213" i="28"/>
  <c r="O56" i="28"/>
  <c r="O180" i="28"/>
  <c r="O72" i="28"/>
  <c r="O120" i="28"/>
  <c r="O257" i="28"/>
  <c r="O383" i="28"/>
  <c r="O258" i="28"/>
  <c r="O113" i="28"/>
  <c r="O271" i="28"/>
  <c r="O450" i="28"/>
  <c r="O176" i="28"/>
  <c r="O60" i="28"/>
  <c r="O175" i="28"/>
  <c r="O313" i="28"/>
  <c r="O380" i="28"/>
  <c r="O392" i="28"/>
  <c r="O370" i="28"/>
  <c r="O277" i="28"/>
  <c r="O93" i="28"/>
  <c r="O452" i="28"/>
  <c r="O447" i="28"/>
  <c r="O190" i="28"/>
  <c r="O325" i="28"/>
  <c r="O317" i="28"/>
  <c r="O327" i="28"/>
  <c r="O346" i="28"/>
  <c r="O79" i="28"/>
  <c r="O470" i="28"/>
  <c r="O90" i="28"/>
  <c r="O301" i="28"/>
  <c r="O96" i="28"/>
  <c r="O59" i="28"/>
  <c r="O36" i="28"/>
  <c r="O83" i="28"/>
  <c r="O290" i="28"/>
  <c r="O371" i="28"/>
  <c r="O466" i="28"/>
  <c r="O48" i="28"/>
  <c r="O82" i="28"/>
  <c r="O33" i="28"/>
  <c r="O58" i="28"/>
  <c r="O240" i="28"/>
  <c r="O66" i="28"/>
  <c r="O13" i="28"/>
  <c r="O311" i="28"/>
  <c r="O219" i="28"/>
  <c r="O454" i="28"/>
  <c r="O111" i="28"/>
  <c r="O166" i="28"/>
  <c r="O491" i="28"/>
  <c r="O69" i="28"/>
  <c r="O67" i="28"/>
  <c r="O173" i="28"/>
  <c r="O262" i="28"/>
  <c r="O396" i="28"/>
  <c r="O433" i="28"/>
  <c r="O379" i="28"/>
  <c r="O275" i="28"/>
  <c r="O482" i="28"/>
  <c r="O463" i="28"/>
  <c r="O202" i="28"/>
  <c r="O123" i="28"/>
  <c r="O10" i="28"/>
  <c r="O158" i="28"/>
  <c r="O386" i="28"/>
  <c r="O122" i="28"/>
  <c r="O128" i="28"/>
  <c r="O232" i="28"/>
  <c r="O407" i="28"/>
  <c r="O402" i="28"/>
  <c r="O347" i="28"/>
  <c r="O85" i="28"/>
  <c r="O223" i="28"/>
  <c r="O468" i="28"/>
  <c r="O88" i="28"/>
  <c r="O299" i="28"/>
  <c r="O199" i="28"/>
  <c r="O194" i="28"/>
  <c r="O293" i="28"/>
  <c r="O467" i="28"/>
  <c r="O221" i="28"/>
  <c r="O256" i="28"/>
  <c r="O20" i="28"/>
  <c r="O155" i="28"/>
  <c r="O312" i="28"/>
  <c r="O361" i="28"/>
  <c r="O349" i="28"/>
  <c r="O103" i="28"/>
  <c r="O109" i="28"/>
  <c r="O182" i="28"/>
  <c r="O114" i="28"/>
  <c r="O174" i="28"/>
  <c r="O115" i="28"/>
  <c r="O263" i="28"/>
  <c r="O264" i="28"/>
  <c r="O428" i="28"/>
  <c r="O472" i="28"/>
  <c r="O434" i="28"/>
  <c r="O273" i="28"/>
  <c r="O353" i="28"/>
  <c r="O100" i="28"/>
  <c r="O445" i="28"/>
  <c r="O39" i="28"/>
  <c r="O343" i="28"/>
  <c r="O503" i="28"/>
  <c r="O228" i="28"/>
  <c r="O230" i="28"/>
  <c r="O316" i="28"/>
  <c r="O478" i="28"/>
  <c r="O411" i="28"/>
  <c r="O297" i="28"/>
  <c r="O308" i="28"/>
  <c r="O364" i="28"/>
  <c r="O267" i="28"/>
  <c r="O304" i="28"/>
  <c r="J10" i="27"/>
  <c r="J12" i="27"/>
  <c r="O98" i="28"/>
  <c r="O31" i="28"/>
  <c r="O200" i="28"/>
  <c r="O291" i="28"/>
  <c r="O376" i="28"/>
  <c r="O220" i="28"/>
  <c r="O50" i="28"/>
  <c r="O6" i="28"/>
  <c r="O473" i="28"/>
  <c r="O448" i="28"/>
  <c r="O365" i="28"/>
  <c r="O101" i="28"/>
  <c r="O167" i="28"/>
  <c r="O272" i="28"/>
  <c r="O178" i="28"/>
  <c r="O181" i="28"/>
  <c r="O172" i="28"/>
  <c r="O285" i="28"/>
  <c r="O314" i="28"/>
  <c r="O476" i="28"/>
  <c r="O495" i="28"/>
  <c r="O475" i="28"/>
  <c r="O283" i="28"/>
  <c r="O504" i="28" l="1"/>
  <c r="B18" i="19"/>
  <c r="B19" i="19"/>
  <c r="B20" i="19"/>
  <c r="B21" i="19"/>
  <c r="B22" i="19"/>
  <c r="C22" i="19"/>
  <c r="C21" i="19"/>
  <c r="C20" i="19"/>
  <c r="C19" i="19"/>
  <c r="C18" i="19"/>
  <c r="D18" i="19"/>
  <c r="E18" i="19"/>
  <c r="F18" i="19"/>
  <c r="G18" i="19"/>
  <c r="H18" i="19"/>
  <c r="I18" i="19"/>
  <c r="J18" i="19"/>
  <c r="K18" i="19"/>
  <c r="L18" i="19"/>
  <c r="D19" i="19"/>
  <c r="E19" i="19"/>
  <c r="F19" i="19"/>
  <c r="G19" i="19"/>
  <c r="H19" i="19"/>
  <c r="I19" i="19"/>
  <c r="J19" i="19"/>
  <c r="K19" i="19"/>
  <c r="L19" i="19"/>
  <c r="D20" i="19"/>
  <c r="E20" i="19"/>
  <c r="F20" i="19"/>
  <c r="G20" i="19"/>
  <c r="H20" i="19"/>
  <c r="I20" i="19"/>
  <c r="J20" i="19"/>
  <c r="K20" i="19"/>
  <c r="L20" i="19"/>
  <c r="D21" i="19"/>
  <c r="E21" i="19"/>
  <c r="F21" i="19"/>
  <c r="G21" i="19"/>
  <c r="H21" i="19"/>
  <c r="I21" i="19"/>
  <c r="J21" i="19"/>
  <c r="K21" i="19"/>
  <c r="L21" i="19"/>
  <c r="D22" i="19"/>
  <c r="E22" i="19"/>
  <c r="F22" i="19"/>
  <c r="G22" i="19"/>
  <c r="H22" i="19"/>
  <c r="I22" i="19"/>
  <c r="J22" i="19"/>
  <c r="K22" i="19"/>
  <c r="L22" i="19"/>
  <c r="M22" i="19"/>
  <c r="M21" i="19"/>
  <c r="M20" i="19"/>
  <c r="M19" i="19"/>
  <c r="M18" i="19"/>
  <c r="B11" i="19"/>
  <c r="B12" i="19"/>
  <c r="B13" i="19"/>
  <c r="B14" i="19"/>
  <c r="B15" i="19"/>
  <c r="C15" i="19"/>
  <c r="C14" i="19"/>
  <c r="C13" i="19"/>
  <c r="C12" i="19"/>
  <c r="C11" i="19"/>
  <c r="D11" i="19"/>
  <c r="E11" i="19"/>
  <c r="F11" i="19"/>
  <c r="G11" i="19"/>
  <c r="H11" i="19"/>
  <c r="I11" i="19"/>
  <c r="J11" i="19"/>
  <c r="K11" i="19"/>
  <c r="L11" i="19"/>
  <c r="D12" i="19"/>
  <c r="E12" i="19"/>
  <c r="F12" i="19"/>
  <c r="G12" i="19"/>
  <c r="H12" i="19"/>
  <c r="I12" i="19"/>
  <c r="J12" i="19"/>
  <c r="K12" i="19"/>
  <c r="L12" i="19"/>
  <c r="D13" i="19"/>
  <c r="E13" i="19"/>
  <c r="F13" i="19"/>
  <c r="G13" i="19"/>
  <c r="H13" i="19"/>
  <c r="I13" i="19"/>
  <c r="J13" i="19"/>
  <c r="K13" i="19"/>
  <c r="L13" i="19"/>
  <c r="D14" i="19"/>
  <c r="E14" i="19"/>
  <c r="F14" i="19"/>
  <c r="G14" i="19"/>
  <c r="H14" i="19"/>
  <c r="I14" i="19"/>
  <c r="J14" i="19"/>
  <c r="K14" i="19"/>
  <c r="L14" i="19"/>
  <c r="D15" i="19"/>
  <c r="E15" i="19"/>
  <c r="F15" i="19"/>
  <c r="G15" i="19"/>
  <c r="H15" i="19"/>
  <c r="I15" i="19"/>
  <c r="J15" i="19"/>
  <c r="K15" i="19"/>
  <c r="L15" i="19"/>
  <c r="M15" i="19"/>
  <c r="M14" i="19"/>
  <c r="M13" i="19"/>
  <c r="M12" i="19"/>
  <c r="M11" i="19"/>
  <c r="B4" i="19"/>
  <c r="B5" i="19"/>
  <c r="B6" i="19"/>
  <c r="B7" i="19"/>
  <c r="B8" i="19"/>
  <c r="C8" i="19"/>
  <c r="C7" i="19"/>
  <c r="C6" i="19"/>
  <c r="C5" i="19"/>
  <c r="C4" i="19"/>
  <c r="D4" i="19"/>
  <c r="E4" i="19"/>
  <c r="F4" i="19"/>
  <c r="G4" i="19"/>
  <c r="H4" i="19"/>
  <c r="I4" i="19"/>
  <c r="J4" i="19"/>
  <c r="K4" i="19"/>
  <c r="L4" i="19"/>
  <c r="D5" i="19"/>
  <c r="E5" i="19"/>
  <c r="F5" i="19"/>
  <c r="G5" i="19"/>
  <c r="H5" i="19"/>
  <c r="I5" i="19"/>
  <c r="J5" i="19"/>
  <c r="K5" i="19"/>
  <c r="L5" i="19"/>
  <c r="D6" i="19"/>
  <c r="E6" i="19"/>
  <c r="F6" i="19"/>
  <c r="G6" i="19"/>
  <c r="H6" i="19"/>
  <c r="I6" i="19"/>
  <c r="J6" i="19"/>
  <c r="K6" i="19"/>
  <c r="L6" i="19"/>
  <c r="D7" i="19"/>
  <c r="E7" i="19"/>
  <c r="F7" i="19"/>
  <c r="G7" i="19"/>
  <c r="H7" i="19"/>
  <c r="I7" i="19"/>
  <c r="J7" i="19"/>
  <c r="K7" i="19"/>
  <c r="L7" i="19"/>
  <c r="D8" i="19"/>
  <c r="E8" i="19"/>
  <c r="F8" i="19"/>
  <c r="G8" i="19"/>
  <c r="H8" i="19"/>
  <c r="I8" i="19"/>
  <c r="J8" i="19"/>
  <c r="K8" i="19"/>
  <c r="L8" i="19"/>
  <c r="M8" i="19"/>
  <c r="M7" i="19"/>
  <c r="M6" i="19"/>
  <c r="M5" i="19"/>
  <c r="M4" i="19"/>
  <c r="M35" i="24"/>
  <c r="L35" i="24"/>
  <c r="K35" i="24"/>
  <c r="J35" i="24"/>
  <c r="I35" i="24"/>
  <c r="H35" i="24"/>
  <c r="G35" i="24"/>
  <c r="F35" i="24"/>
  <c r="E35" i="24"/>
  <c r="D35" i="24"/>
  <c r="C35" i="24"/>
  <c r="B35" i="24"/>
  <c r="N35" i="24" s="1"/>
  <c r="N34" i="24"/>
  <c r="N33" i="24"/>
  <c r="N32" i="24"/>
  <c r="N31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N27" i="24"/>
  <c r="N26" i="24"/>
  <c r="N25" i="24"/>
  <c r="N24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N21" i="24" s="1"/>
  <c r="N20" i="24"/>
  <c r="N19" i="24"/>
  <c r="N18" i="24"/>
  <c r="N17" i="24"/>
  <c r="K14" i="24"/>
  <c r="J14" i="24"/>
  <c r="I14" i="24"/>
  <c r="H14" i="24"/>
  <c r="G14" i="24"/>
  <c r="F14" i="24"/>
  <c r="E14" i="24"/>
  <c r="D14" i="24"/>
  <c r="C14" i="24"/>
  <c r="B14" i="24"/>
  <c r="N14" i="24" s="1"/>
  <c r="N13" i="24"/>
  <c r="N12" i="24"/>
  <c r="N11" i="24"/>
  <c r="N10" i="24"/>
  <c r="M14" i="24"/>
  <c r="L14" i="24"/>
  <c r="N6" i="24"/>
  <c r="N5" i="24"/>
  <c r="J7" i="24"/>
  <c r="H7" i="24"/>
  <c r="M7" i="24"/>
  <c r="L7" i="24"/>
  <c r="K7" i="24"/>
  <c r="I7" i="24"/>
  <c r="G7" i="24"/>
  <c r="F7" i="24"/>
  <c r="E7" i="24"/>
  <c r="D7" i="24"/>
  <c r="C7" i="24"/>
  <c r="N3" i="24"/>
  <c r="N4" i="24" l="1"/>
  <c r="B7" i="24"/>
  <c r="N7" i="24" s="1"/>
  <c r="O8" i="19" l="1"/>
  <c r="N18" i="19"/>
  <c r="O5" i="19"/>
  <c r="O11" i="19"/>
  <c r="O7" i="19"/>
  <c r="O13" i="19"/>
  <c r="O4" i="19"/>
  <c r="O6" i="19"/>
  <c r="O12" i="19"/>
  <c r="O14" i="19"/>
  <c r="O21" i="19"/>
  <c r="O22" i="19"/>
  <c r="O20" i="19"/>
  <c r="O19" i="19"/>
  <c r="O15" i="19"/>
  <c r="O18" i="19"/>
  <c r="N4" i="19"/>
  <c r="N11" i="19"/>
  <c r="B8" i="18" l="1"/>
  <c r="B10" i="18"/>
  <c r="B9" i="18"/>
  <c r="B7" i="18"/>
  <c r="B6" i="18"/>
  <c r="B3" i="18" s="1"/>
</calcChain>
</file>

<file path=xl/sharedStrings.xml><?xml version="1.0" encoding="utf-8"?>
<sst xmlns="http://schemas.openxmlformats.org/spreadsheetml/2006/main" count="4581" uniqueCount="1129">
  <si>
    <t>No.</t>
    <phoneticPr fontId="4"/>
  </si>
  <si>
    <t>階</t>
    <rPh sb="0" eb="1">
      <t>カイ</t>
    </rPh>
    <phoneticPr fontId="4"/>
  </si>
  <si>
    <t>照明種類</t>
    <rPh sb="0" eb="4">
      <t>ショウメイシュルイ</t>
    </rPh>
    <phoneticPr fontId="4"/>
  </si>
  <si>
    <t>灯数</t>
    <rPh sb="0" eb="2">
      <t>トウスウ</t>
    </rPh>
    <phoneticPr fontId="4"/>
  </si>
  <si>
    <t>台数</t>
    <rPh sb="0" eb="2">
      <t>ダイスウ</t>
    </rPh>
    <phoneticPr fontId="4"/>
  </si>
  <si>
    <t>仕様</t>
    <rPh sb="0" eb="2">
      <t>シヨウ</t>
    </rPh>
    <phoneticPr fontId="4"/>
  </si>
  <si>
    <t>備考</t>
    <rPh sb="0" eb="2">
      <t>ビコウ</t>
    </rPh>
    <phoneticPr fontId="4"/>
  </si>
  <si>
    <t>部屋名</t>
    <rPh sb="0" eb="3">
      <t>ヘヤメイ</t>
    </rPh>
    <phoneticPr fontId="4"/>
  </si>
  <si>
    <t>図面記号</t>
    <rPh sb="0" eb="2">
      <t>ズメン</t>
    </rPh>
    <rPh sb="2" eb="4">
      <t>キゴウ</t>
    </rPh>
    <phoneticPr fontId="4"/>
  </si>
  <si>
    <t>誘導灯</t>
    <rPh sb="0" eb="3">
      <t>ユウドウトウ</t>
    </rPh>
    <phoneticPr fontId="4"/>
  </si>
  <si>
    <t>4F</t>
  </si>
  <si>
    <t>3F</t>
  </si>
  <si>
    <t>1F</t>
    <phoneticPr fontId="4"/>
  </si>
  <si>
    <t>屋外</t>
    <rPh sb="0" eb="2">
      <t>オクガイ</t>
    </rPh>
    <phoneticPr fontId="4"/>
  </si>
  <si>
    <t>PH</t>
    <phoneticPr fontId="4"/>
  </si>
  <si>
    <t>総合福祉センター</t>
    <rPh sb="0" eb="4">
      <t>ソウゴウフクシ</t>
    </rPh>
    <phoneticPr fontId="4"/>
  </si>
  <si>
    <t>B402</t>
  </si>
  <si>
    <t>B1</t>
  </si>
  <si>
    <t>A401G</t>
  </si>
  <si>
    <t>不明</t>
  </si>
  <si>
    <t>C402P</t>
  </si>
  <si>
    <t>C401P</t>
  </si>
  <si>
    <t>C401</t>
  </si>
  <si>
    <t>C401B</t>
  </si>
  <si>
    <t>C402BP</t>
  </si>
  <si>
    <t>F403</t>
  </si>
  <si>
    <t>ウ40</t>
  </si>
  <si>
    <t>G282</t>
  </si>
  <si>
    <t>B402BB</t>
  </si>
  <si>
    <t>物品庫1</t>
  </si>
  <si>
    <t>物品庫2</t>
  </si>
  <si>
    <t>設備機械室</t>
  </si>
  <si>
    <t>受水槽室</t>
  </si>
  <si>
    <t>電気室</t>
  </si>
  <si>
    <t>発電機室</t>
  </si>
  <si>
    <t>警備室</t>
  </si>
  <si>
    <t>廊下</t>
  </si>
  <si>
    <t>B-階段室</t>
  </si>
  <si>
    <t>FL40W</t>
    <phoneticPr fontId="8"/>
  </si>
  <si>
    <t>FL40SW ＋PIL100V40WS35E17</t>
  </si>
  <si>
    <t>FL20W</t>
    <phoneticPr fontId="8"/>
  </si>
  <si>
    <t xml:space="preserve">FPL28EXN </t>
  </si>
  <si>
    <t>エ40</t>
  </si>
  <si>
    <t>1F</t>
  </si>
  <si>
    <t>N201</t>
  </si>
  <si>
    <t>Q181</t>
  </si>
  <si>
    <t>D402</t>
  </si>
  <si>
    <t>D202B</t>
  </si>
  <si>
    <t>L402</t>
  </si>
  <si>
    <t>D402S</t>
  </si>
  <si>
    <t>D401</t>
  </si>
  <si>
    <t>D202</t>
  </si>
  <si>
    <t>ア401</t>
  </si>
  <si>
    <t>X40</t>
  </si>
  <si>
    <t>B201K</t>
  </si>
  <si>
    <t>A401</t>
  </si>
  <si>
    <t>g250</t>
  </si>
  <si>
    <t>ヌ60</t>
  </si>
  <si>
    <t>S27</t>
  </si>
  <si>
    <t>G281</t>
  </si>
  <si>
    <t>R401</t>
  </si>
  <si>
    <t>n50</t>
  </si>
  <si>
    <t>J402</t>
  </si>
  <si>
    <t>ノ40</t>
  </si>
  <si>
    <t>S60</t>
  </si>
  <si>
    <t>T85</t>
  </si>
  <si>
    <t>イ271</t>
  </si>
  <si>
    <t>B402W</t>
  </si>
  <si>
    <t>D402B</t>
  </si>
  <si>
    <t>S100</t>
  </si>
  <si>
    <t>H554</t>
  </si>
  <si>
    <t>Q181J</t>
  </si>
  <si>
    <t>a70</t>
  </si>
  <si>
    <t>B401</t>
  </si>
  <si>
    <t>監視室</t>
    <rPh sb="0" eb="3">
      <t>カンシシツ</t>
    </rPh>
    <phoneticPr fontId="8"/>
  </si>
  <si>
    <t>便所</t>
  </si>
  <si>
    <t>車椅子シャワー</t>
  </si>
  <si>
    <t>車椅子便所</t>
  </si>
  <si>
    <t>SS</t>
  </si>
  <si>
    <t>エレベーターホール</t>
  </si>
  <si>
    <t>プール</t>
  </si>
  <si>
    <t>風除室2</t>
  </si>
  <si>
    <t>風除室1</t>
  </si>
  <si>
    <t>ホール</t>
  </si>
  <si>
    <t>喫茶</t>
  </si>
  <si>
    <t>A-階段室</t>
  </si>
  <si>
    <t>厨房</t>
  </si>
  <si>
    <t>男子便所</t>
  </si>
  <si>
    <t>女子便所</t>
  </si>
  <si>
    <t>SK</t>
  </si>
  <si>
    <t>視聴覚室・図書室</t>
  </si>
  <si>
    <t>編集室</t>
  </si>
  <si>
    <t>録音スタジオ</t>
  </si>
  <si>
    <t>研修室</t>
  </si>
  <si>
    <t>集会室</t>
  </si>
  <si>
    <t>会議室</t>
  </si>
  <si>
    <t>障害者福祉センター事務室</t>
  </si>
  <si>
    <t>給湯室</t>
    <rPh sb="0" eb="3">
      <t>キュウトウシツ</t>
    </rPh>
    <phoneticPr fontId="8"/>
  </si>
  <si>
    <t>廊下・風除室3</t>
  </si>
  <si>
    <t>日常生活訓練室</t>
    <rPh sb="0" eb="4">
      <t>ニチジョウセイカツ</t>
    </rPh>
    <rPh sb="4" eb="6">
      <t>クンレン</t>
    </rPh>
    <rPh sb="6" eb="7">
      <t>シツ</t>
    </rPh>
    <phoneticPr fontId="8"/>
  </si>
  <si>
    <t>管理人室</t>
  </si>
  <si>
    <t>作業室</t>
  </si>
  <si>
    <t>物品庫</t>
  </si>
  <si>
    <t>機能回復訓練室</t>
  </si>
  <si>
    <t>FDL18EX-N</t>
  </si>
  <si>
    <t>FLR40W</t>
  </si>
  <si>
    <t>LW110V60W</t>
  </si>
  <si>
    <t>KR60W</t>
    <phoneticPr fontId="8"/>
  </si>
  <si>
    <t>FDL27EX-N</t>
  </si>
  <si>
    <t>FL32W</t>
    <phoneticPr fontId="8"/>
  </si>
  <si>
    <t>FL10W</t>
    <phoneticPr fontId="8"/>
  </si>
  <si>
    <t>FHF32W</t>
    <phoneticPr fontId="8"/>
  </si>
  <si>
    <t>FHP23W</t>
    <phoneticPr fontId="8"/>
  </si>
  <si>
    <t>FPL55EX-N/2</t>
  </si>
  <si>
    <t xml:space="preserve">HF70 </t>
  </si>
  <si>
    <t>黒板灯　カバー付　W220</t>
    <rPh sb="7" eb="8">
      <t>ツ</t>
    </rPh>
    <phoneticPr fontId="8"/>
  </si>
  <si>
    <t>2F</t>
  </si>
  <si>
    <t>Q271</t>
  </si>
  <si>
    <t>B401G</t>
  </si>
  <si>
    <t>G363</t>
  </si>
  <si>
    <t>E402</t>
  </si>
  <si>
    <t>E402B</t>
  </si>
  <si>
    <t>f250</t>
  </si>
  <si>
    <t>ウ60</t>
  </si>
  <si>
    <t>D402A</t>
  </si>
  <si>
    <t>D201</t>
  </si>
  <si>
    <t>D404</t>
  </si>
  <si>
    <t>D404B</t>
  </si>
  <si>
    <t>第１会議室</t>
    <rPh sb="0" eb="1">
      <t>ダイ</t>
    </rPh>
    <rPh sb="2" eb="5">
      <t>カイギシツ</t>
    </rPh>
    <phoneticPr fontId="8"/>
  </si>
  <si>
    <t>空調機械室</t>
  </si>
  <si>
    <t>技能訓練室</t>
  </si>
  <si>
    <t>小会議室2</t>
  </si>
  <si>
    <t>教養娯楽室</t>
  </si>
  <si>
    <t>教養娯楽室（床の間）</t>
  </si>
  <si>
    <t>踏込</t>
  </si>
  <si>
    <t>給湯室</t>
  </si>
  <si>
    <t>便所前室</t>
  </si>
  <si>
    <t>シルバー人材センター</t>
  </si>
  <si>
    <t>健康相談室</t>
  </si>
  <si>
    <t>老人福祉センター</t>
  </si>
  <si>
    <t>避難バルコニー</t>
  </si>
  <si>
    <t>相談室</t>
  </si>
  <si>
    <t>休養室</t>
  </si>
  <si>
    <t>物品庫</t>
    <rPh sb="0" eb="3">
      <t>ブッピンコ</t>
    </rPh>
    <phoneticPr fontId="8"/>
  </si>
  <si>
    <t>介護浴室</t>
  </si>
  <si>
    <t>FPL36EX-N/2</t>
  </si>
  <si>
    <t>FPL18W</t>
    <phoneticPr fontId="8"/>
  </si>
  <si>
    <t>IL40W</t>
    <phoneticPr fontId="8"/>
  </si>
  <si>
    <t>Q552J</t>
  </si>
  <si>
    <t>G364</t>
  </si>
  <si>
    <t>F402</t>
  </si>
  <si>
    <t>D403</t>
  </si>
  <si>
    <t>Q181A</t>
  </si>
  <si>
    <t>押入</t>
  </si>
  <si>
    <t>ミーティングルーム1</t>
  </si>
  <si>
    <t>ミーティングルーム2</t>
  </si>
  <si>
    <t>コンピュータールーム</t>
  </si>
  <si>
    <t>ボランティアプラザ</t>
  </si>
  <si>
    <t>会議室1</t>
  </si>
  <si>
    <t>職員休憩室</t>
  </si>
  <si>
    <t>母子相談室</t>
  </si>
  <si>
    <t>婦人相談室</t>
  </si>
  <si>
    <t>家庭児童相談室</t>
  </si>
  <si>
    <t>母子福祉センター事務室</t>
  </si>
  <si>
    <t>会議室2</t>
  </si>
  <si>
    <t>技能習得室</t>
  </si>
  <si>
    <t>保育室</t>
  </si>
  <si>
    <t>ボランティアセンター</t>
  </si>
  <si>
    <t>管理事務室</t>
  </si>
  <si>
    <t>応接室</t>
  </si>
  <si>
    <t>ベランダ</t>
  </si>
  <si>
    <t>男子更衣室</t>
  </si>
  <si>
    <t>女子更衣室</t>
  </si>
  <si>
    <t>エレベーター前</t>
  </si>
  <si>
    <t>音楽スタジオ</t>
  </si>
  <si>
    <t>収納</t>
  </si>
  <si>
    <t>前室</t>
    <rPh sb="0" eb="2">
      <t>ゼンシツ</t>
    </rPh>
    <phoneticPr fontId="8"/>
  </si>
  <si>
    <t>E1101</t>
  </si>
  <si>
    <t>ふれあい広場</t>
  </si>
  <si>
    <t>図書室</t>
  </si>
  <si>
    <t>空調機械室</t>
    <rPh sb="0" eb="2">
      <t>クウチョウ</t>
    </rPh>
    <rPh sb="2" eb="5">
      <t>キカイシツ</t>
    </rPh>
    <phoneticPr fontId="8"/>
  </si>
  <si>
    <t>中会議室</t>
  </si>
  <si>
    <t>収納庫</t>
  </si>
  <si>
    <t>G552</t>
  </si>
  <si>
    <t>おもちゃライブラリー</t>
  </si>
  <si>
    <t>倉庫</t>
  </si>
  <si>
    <t>ビデオ図書室</t>
  </si>
  <si>
    <t>遊具庫</t>
  </si>
  <si>
    <t>遊戯室前室</t>
    <rPh sb="0" eb="5">
      <t>ユウギシツゼンシツ</t>
    </rPh>
    <phoneticPr fontId="8"/>
  </si>
  <si>
    <t>遊戯室</t>
  </si>
  <si>
    <t>遊具庫</t>
    <rPh sb="0" eb="3">
      <t>ユウグコ</t>
    </rPh>
    <phoneticPr fontId="8"/>
  </si>
  <si>
    <t>児童センター</t>
  </si>
  <si>
    <t>E1102</t>
  </si>
  <si>
    <t>FLR110W</t>
    <phoneticPr fontId="8"/>
  </si>
  <si>
    <t>FL15W</t>
    <phoneticPr fontId="8"/>
  </si>
  <si>
    <t>5F</t>
  </si>
  <si>
    <t>ロビー</t>
  </si>
  <si>
    <t>車椅子更衣室</t>
  </si>
  <si>
    <t>L202</t>
  </si>
  <si>
    <t>女子シャワー</t>
  </si>
  <si>
    <t>W40</t>
  </si>
  <si>
    <t>D402G</t>
  </si>
  <si>
    <t>器具庫</t>
  </si>
  <si>
    <t>操作室</t>
    <rPh sb="0" eb="3">
      <t>ソウサシツ</t>
    </rPh>
    <phoneticPr fontId="8"/>
  </si>
  <si>
    <t>D402BB</t>
  </si>
  <si>
    <t>器具庫2</t>
  </si>
  <si>
    <t>男子シャワー</t>
  </si>
  <si>
    <t>M201</t>
  </si>
  <si>
    <t>B201</t>
  </si>
  <si>
    <t>IL100W</t>
    <phoneticPr fontId="8"/>
  </si>
  <si>
    <t>FPL36W</t>
    <phoneticPr fontId="8"/>
  </si>
  <si>
    <t>PH</t>
  </si>
  <si>
    <t>EV機械室</t>
  </si>
  <si>
    <t>B202</t>
  </si>
  <si>
    <t>B202BB</t>
  </si>
  <si>
    <t>f400A</t>
  </si>
  <si>
    <t>体育室上部</t>
  </si>
  <si>
    <t>f700</t>
  </si>
  <si>
    <t>BL</t>
    <phoneticPr fontId="8"/>
  </si>
  <si>
    <t>PH</t>
    <phoneticPr fontId="8"/>
  </si>
  <si>
    <t>体育館上部</t>
    <rPh sb="0" eb="3">
      <t>タイイクカン</t>
    </rPh>
    <rPh sb="3" eb="5">
      <t>ジョウブ</t>
    </rPh>
    <phoneticPr fontId="8"/>
  </si>
  <si>
    <t>SUS</t>
    <phoneticPr fontId="8"/>
  </si>
  <si>
    <t>CLS</t>
    <phoneticPr fontId="8"/>
  </si>
  <si>
    <t>PIN</t>
    <phoneticPr fontId="8"/>
  </si>
  <si>
    <t>ボーダーライト</t>
    <phoneticPr fontId="8"/>
  </si>
  <si>
    <t>サスペンションスポットライト</t>
    <phoneticPr fontId="8"/>
  </si>
  <si>
    <t>シーリングスポットライト</t>
    <phoneticPr fontId="8"/>
  </si>
  <si>
    <t>フォローピンスポットライト</t>
    <phoneticPr fontId="8"/>
  </si>
  <si>
    <t>200Wx９灯</t>
    <rPh sb="6" eb="7">
      <t>トウ</t>
    </rPh>
    <phoneticPr fontId="8"/>
  </si>
  <si>
    <t>500w</t>
    <phoneticPr fontId="8"/>
  </si>
  <si>
    <t>1kw</t>
    <phoneticPr fontId="8"/>
  </si>
  <si>
    <t>階段灯　電池内蔵</t>
    <rPh sb="4" eb="8">
      <t>デンチナイゾウ</t>
    </rPh>
    <phoneticPr fontId="4"/>
  </si>
  <si>
    <t>タ150</t>
    <phoneticPr fontId="4"/>
  </si>
  <si>
    <t>ソ200</t>
    <phoneticPr fontId="4"/>
  </si>
  <si>
    <t>外構</t>
    <rPh sb="0" eb="2">
      <t>ガイコウ</t>
    </rPh>
    <phoneticPr fontId="4"/>
  </si>
  <si>
    <t>外灯</t>
    <rPh sb="0" eb="2">
      <t>ガイトウ</t>
    </rPh>
    <phoneticPr fontId="4"/>
  </si>
  <si>
    <t>逆富士　電池内蔵</t>
    <rPh sb="4" eb="8">
      <t>デンチナイゾウ</t>
    </rPh>
    <phoneticPr fontId="8"/>
  </si>
  <si>
    <t>非常灯　電源別置　φ100</t>
    <rPh sb="2" eb="3">
      <t>トウ</t>
    </rPh>
    <rPh sb="4" eb="8">
      <t>デンゲンベッチ</t>
    </rPh>
    <phoneticPr fontId="8"/>
  </si>
  <si>
    <t>FMR96EXNA</t>
    <phoneticPr fontId="4"/>
  </si>
  <si>
    <t>収納(A-階段室側)</t>
    <rPh sb="0" eb="2">
      <t>シュウノウ</t>
    </rPh>
    <rPh sb="5" eb="7">
      <t>カイダン</t>
    </rPh>
    <rPh sb="7" eb="8">
      <t>シツ</t>
    </rPh>
    <rPh sb="8" eb="9">
      <t>ガワ</t>
    </rPh>
    <phoneticPr fontId="4"/>
  </si>
  <si>
    <t>体育室</t>
    <rPh sb="0" eb="3">
      <t>タイイクシツ</t>
    </rPh>
    <phoneticPr fontId="4"/>
  </si>
  <si>
    <t>ケ201G</t>
    <phoneticPr fontId="4"/>
  </si>
  <si>
    <t>テ402R</t>
    <phoneticPr fontId="4"/>
  </si>
  <si>
    <t>コ201R</t>
    <phoneticPr fontId="4"/>
  </si>
  <si>
    <t>廊下</t>
    <rPh sb="0" eb="2">
      <t>ロウカ</t>
    </rPh>
    <phoneticPr fontId="4"/>
  </si>
  <si>
    <t>B-階段室</t>
    <rPh sb="2" eb="5">
      <t>カイダンシツ</t>
    </rPh>
    <phoneticPr fontId="4"/>
  </si>
  <si>
    <t>避難階段</t>
    <rPh sb="0" eb="4">
      <t>ヒナンカイダン</t>
    </rPh>
    <phoneticPr fontId="4"/>
  </si>
  <si>
    <t>ク402</t>
    <phoneticPr fontId="4"/>
  </si>
  <si>
    <t>シ101</t>
    <phoneticPr fontId="4"/>
  </si>
  <si>
    <t>FL10W</t>
    <phoneticPr fontId="4"/>
  </si>
  <si>
    <t>階段灯　非常灯兼用　電池内蔵</t>
    <rPh sb="4" eb="9">
      <t>ヒジョウトウケンヨウ</t>
    </rPh>
    <rPh sb="10" eb="14">
      <t>デンチナイゾウ</t>
    </rPh>
    <phoneticPr fontId="4"/>
  </si>
  <si>
    <t>Q181</t>
    <phoneticPr fontId="4"/>
  </si>
  <si>
    <t>コンピュータープレールーム</t>
    <phoneticPr fontId="4"/>
  </si>
  <si>
    <t>音楽スタジオ</t>
    <rPh sb="0" eb="2">
      <t>オンガク</t>
    </rPh>
    <phoneticPr fontId="4"/>
  </si>
  <si>
    <t>ケ201</t>
    <phoneticPr fontId="4"/>
  </si>
  <si>
    <t>ふれあい広場</t>
    <rPh sb="4" eb="6">
      <t>ヒロバ</t>
    </rPh>
    <phoneticPr fontId="4"/>
  </si>
  <si>
    <t>A-階段室</t>
    <rPh sb="2" eb="5">
      <t>カイダンシツ</t>
    </rPh>
    <phoneticPr fontId="4"/>
  </si>
  <si>
    <t>図書室</t>
    <rPh sb="0" eb="3">
      <t>トショシツ</t>
    </rPh>
    <phoneticPr fontId="4"/>
  </si>
  <si>
    <t>おもちゃライブラリー</t>
    <phoneticPr fontId="4"/>
  </si>
  <si>
    <t>ビデオ図書室</t>
    <rPh sb="3" eb="6">
      <t>トショシツ</t>
    </rPh>
    <phoneticPr fontId="4"/>
  </si>
  <si>
    <t>遊戯室</t>
    <rPh sb="0" eb="3">
      <t>ユウギシツ</t>
    </rPh>
    <phoneticPr fontId="4"/>
  </si>
  <si>
    <t>集会室</t>
    <rPh sb="0" eb="3">
      <t>シュウカイシツ</t>
    </rPh>
    <phoneticPr fontId="4"/>
  </si>
  <si>
    <t>サ101</t>
    <phoneticPr fontId="4"/>
  </si>
  <si>
    <t>テ402</t>
    <phoneticPr fontId="4"/>
  </si>
  <si>
    <t>FL40W</t>
    <phoneticPr fontId="4"/>
  </si>
  <si>
    <t>前室(おもちゃライブラリー)</t>
    <phoneticPr fontId="4"/>
  </si>
  <si>
    <t>前室</t>
    <phoneticPr fontId="4"/>
  </si>
  <si>
    <t>Q181J</t>
    <phoneticPr fontId="4"/>
  </si>
  <si>
    <t>廊下(各相談室前)</t>
    <rPh sb="3" eb="8">
      <t>カクソウダンシツマエ</t>
    </rPh>
    <phoneticPr fontId="4"/>
  </si>
  <si>
    <t>PS</t>
    <phoneticPr fontId="4"/>
  </si>
  <si>
    <t>3F</t>
    <phoneticPr fontId="4"/>
  </si>
  <si>
    <t>ボランティアプラザ</t>
    <phoneticPr fontId="4"/>
  </si>
  <si>
    <t>コ201</t>
    <phoneticPr fontId="4"/>
  </si>
  <si>
    <t>技能習得室</t>
    <rPh sb="0" eb="2">
      <t>ギノウ</t>
    </rPh>
    <rPh sb="2" eb="5">
      <t>シュウトクシツ</t>
    </rPh>
    <phoneticPr fontId="4"/>
  </si>
  <si>
    <t>ボランティアセンター</t>
    <phoneticPr fontId="4"/>
  </si>
  <si>
    <t>管理事務室</t>
    <rPh sb="0" eb="5">
      <t>カンリジムシツ</t>
    </rPh>
    <phoneticPr fontId="4"/>
  </si>
  <si>
    <t>介護相談センター事務室</t>
    <rPh sb="0" eb="4">
      <t>カイゴソウダン</t>
    </rPh>
    <phoneticPr fontId="4"/>
  </si>
  <si>
    <t>D401</t>
    <phoneticPr fontId="4"/>
  </si>
  <si>
    <t>成年後見センター</t>
    <rPh sb="0" eb="4">
      <t>セイネンコウケン</t>
    </rPh>
    <phoneticPr fontId="4"/>
  </si>
  <si>
    <t>健康相談室</t>
    <rPh sb="0" eb="5">
      <t>ケンコウソウダンシツ</t>
    </rPh>
    <phoneticPr fontId="4"/>
  </si>
  <si>
    <t>介護相談センター事務室</t>
    <rPh sb="0" eb="4">
      <t>カイゴソウダン</t>
    </rPh>
    <rPh sb="8" eb="11">
      <t>ジムシツ</t>
    </rPh>
    <phoneticPr fontId="4"/>
  </si>
  <si>
    <t>G282</t>
    <phoneticPr fontId="4"/>
  </si>
  <si>
    <t>D402B</t>
    <phoneticPr fontId="4"/>
  </si>
  <si>
    <t>X40</t>
    <phoneticPr fontId="4"/>
  </si>
  <si>
    <t>IL40W</t>
    <phoneticPr fontId="4"/>
  </si>
  <si>
    <t>直付白熱灯</t>
    <rPh sb="0" eb="2">
      <t>ジカヅ</t>
    </rPh>
    <rPh sb="2" eb="5">
      <t>ハクネツトウ</t>
    </rPh>
    <phoneticPr fontId="4"/>
  </si>
  <si>
    <t>ウ40</t>
    <phoneticPr fontId="4"/>
  </si>
  <si>
    <t>非常灯　電源別置　WP</t>
    <rPh sb="2" eb="3">
      <t>トウ</t>
    </rPh>
    <rPh sb="4" eb="8">
      <t>デンゲンベッチ</t>
    </rPh>
    <phoneticPr fontId="8"/>
  </si>
  <si>
    <t>D402</t>
    <phoneticPr fontId="4"/>
  </si>
  <si>
    <t>車椅子便所</t>
    <rPh sb="3" eb="5">
      <t>ベンジョ</t>
    </rPh>
    <phoneticPr fontId="4"/>
  </si>
  <si>
    <t>FL40SW</t>
    <phoneticPr fontId="4"/>
  </si>
  <si>
    <t>便所</t>
    <phoneticPr fontId="4"/>
  </si>
  <si>
    <t>N201</t>
    <phoneticPr fontId="4"/>
  </si>
  <si>
    <t>FL40SW ＋PIL100V40WS35E17</t>
    <phoneticPr fontId="4"/>
  </si>
  <si>
    <t>FL20W＋PIL100V40WS35E17</t>
    <phoneticPr fontId="8"/>
  </si>
  <si>
    <t>前室(プール)</t>
    <rPh sb="0" eb="2">
      <t>マエシツ</t>
    </rPh>
    <phoneticPr fontId="4"/>
  </si>
  <si>
    <t>採暖室</t>
    <rPh sb="0" eb="2">
      <t>サイダン</t>
    </rPh>
    <rPh sb="2" eb="3">
      <t>シツ</t>
    </rPh>
    <phoneticPr fontId="4"/>
  </si>
  <si>
    <t>採暖室</t>
    <rPh sb="0" eb="2">
      <t>サイダン</t>
    </rPh>
    <phoneticPr fontId="4"/>
  </si>
  <si>
    <t>軒下</t>
    <phoneticPr fontId="8"/>
  </si>
  <si>
    <t>ピロティ</t>
    <phoneticPr fontId="8"/>
  </si>
  <si>
    <t>ホール</t>
    <phoneticPr fontId="8"/>
  </si>
  <si>
    <t>更衣室(１)，(２)，前室</t>
    <rPh sb="0" eb="3">
      <t>コウイシツ</t>
    </rPh>
    <rPh sb="11" eb="13">
      <t>マエシツ</t>
    </rPh>
    <phoneticPr fontId="4"/>
  </si>
  <si>
    <t>吹抜け</t>
    <phoneticPr fontId="8"/>
  </si>
  <si>
    <t>非常灯　電源別置　φ200</t>
    <rPh sb="2" eb="3">
      <t>トウ</t>
    </rPh>
    <rPh sb="4" eb="8">
      <t>デンゲンベッチ</t>
    </rPh>
    <phoneticPr fontId="8"/>
  </si>
  <si>
    <t>更衣室(１)(男子)</t>
    <rPh sb="0" eb="3">
      <t>コウイシツ</t>
    </rPh>
    <rPh sb="7" eb="9">
      <t>ダンシ</t>
    </rPh>
    <phoneticPr fontId="4"/>
  </si>
  <si>
    <t>更衣室(２)(女子)</t>
    <rPh sb="0" eb="3">
      <t>コウイシツ</t>
    </rPh>
    <rPh sb="7" eb="9">
      <t>ジョシ</t>
    </rPh>
    <phoneticPr fontId="4"/>
  </si>
  <si>
    <t>SS(更衣室入口)</t>
    <rPh sb="3" eb="7">
      <t>コウイシツイ</t>
    </rPh>
    <rPh sb="7" eb="8">
      <t>グチ</t>
    </rPh>
    <phoneticPr fontId="4"/>
  </si>
  <si>
    <t>LED</t>
    <phoneticPr fontId="4"/>
  </si>
  <si>
    <t>ダウンライト</t>
    <phoneticPr fontId="8"/>
  </si>
  <si>
    <t>埋込 W300</t>
    <phoneticPr fontId="8"/>
  </si>
  <si>
    <t>O201</t>
    <phoneticPr fontId="4"/>
  </si>
  <si>
    <t>プール</t>
    <phoneticPr fontId="4"/>
  </si>
  <si>
    <t>チ402W</t>
    <phoneticPr fontId="4"/>
  </si>
  <si>
    <t>風除室1</t>
    <phoneticPr fontId="4"/>
  </si>
  <si>
    <t>喫茶室</t>
    <rPh sb="2" eb="3">
      <t>シツ</t>
    </rPh>
    <phoneticPr fontId="4"/>
  </si>
  <si>
    <t>FL20W</t>
    <phoneticPr fontId="4"/>
  </si>
  <si>
    <t>集会室</t>
    <phoneticPr fontId="4"/>
  </si>
  <si>
    <t>コ321</t>
    <phoneticPr fontId="4"/>
  </si>
  <si>
    <t>直付　非常照明付　電池内蔵</t>
    <rPh sb="0" eb="2">
      <t>ジカヅ</t>
    </rPh>
    <rPh sb="3" eb="8">
      <t>ヒジョウショウメイツ</t>
    </rPh>
    <rPh sb="9" eb="13">
      <t>デンチナイゾウ</t>
    </rPh>
    <phoneticPr fontId="8"/>
  </si>
  <si>
    <t>小会議室１</t>
    <rPh sb="0" eb="4">
      <t>ショウカイギシツ</t>
    </rPh>
    <phoneticPr fontId="4"/>
  </si>
  <si>
    <t>避難口誘導灯</t>
    <rPh sb="0" eb="6">
      <t>ヒナングチユウドウトウ</t>
    </rPh>
    <phoneticPr fontId="4"/>
  </si>
  <si>
    <t>廊下</t>
    <phoneticPr fontId="4"/>
  </si>
  <si>
    <t>通路誘導灯</t>
    <rPh sb="0" eb="5">
      <t>ツウロユウドウトウ</t>
    </rPh>
    <phoneticPr fontId="4"/>
  </si>
  <si>
    <t>技能訓練室</t>
    <phoneticPr fontId="4"/>
  </si>
  <si>
    <t>シルバー人材センター</t>
    <phoneticPr fontId="4"/>
  </si>
  <si>
    <t>避難バルコニー</t>
    <rPh sb="0" eb="2">
      <t>ヒナン</t>
    </rPh>
    <phoneticPr fontId="4"/>
  </si>
  <si>
    <t>避難表示灯</t>
    <rPh sb="0" eb="2">
      <t>ヒナン</t>
    </rPh>
    <rPh sb="2" eb="5">
      <t>ヒョウジトウ</t>
    </rPh>
    <phoneticPr fontId="4"/>
  </si>
  <si>
    <t>避難口誘導灯</t>
    <rPh sb="0" eb="6">
      <t>ヒナングチユウドウトウ</t>
    </rPh>
    <phoneticPr fontId="8"/>
  </si>
  <si>
    <t>LED</t>
    <phoneticPr fontId="8"/>
  </si>
  <si>
    <t>直管LED　埋込W300</t>
    <rPh sb="0" eb="2">
      <t>チョッカン</t>
    </rPh>
    <phoneticPr fontId="8"/>
  </si>
  <si>
    <t>LED ＋PIL100V40WS35E17</t>
    <phoneticPr fontId="4"/>
  </si>
  <si>
    <t>直管LED　埋込W200</t>
    <rPh sb="0" eb="2">
      <t>チョッカン</t>
    </rPh>
    <phoneticPr fontId="8"/>
  </si>
  <si>
    <t>FL20W ＋PIL100V40WS35E17</t>
    <phoneticPr fontId="8"/>
  </si>
  <si>
    <t>直管LED　埋込</t>
    <rPh sb="0" eb="2">
      <t>チョッカン</t>
    </rPh>
    <phoneticPr fontId="8"/>
  </si>
  <si>
    <t>教養娯楽室</t>
    <phoneticPr fontId="4"/>
  </si>
  <si>
    <t>避難表示灯　FA20380</t>
    <rPh sb="0" eb="2">
      <t>ヒナン</t>
    </rPh>
    <rPh sb="2" eb="5">
      <t>ヒョウジトウ</t>
    </rPh>
    <phoneticPr fontId="4"/>
  </si>
  <si>
    <t>避難口誘導灯(音声＋点滅)</t>
    <rPh sb="0" eb="6">
      <t>ヒナングチユウドウトウ</t>
    </rPh>
    <rPh sb="7" eb="9">
      <t>オンセイ</t>
    </rPh>
    <rPh sb="10" eb="12">
      <t>テンメツ</t>
    </rPh>
    <phoneticPr fontId="8"/>
  </si>
  <si>
    <t>避難口誘導灯　FA40337</t>
    <rPh sb="0" eb="6">
      <t>ヒナングチユウドウトウ</t>
    </rPh>
    <phoneticPr fontId="4"/>
  </si>
  <si>
    <t>通路誘導灯</t>
    <rPh sb="0" eb="5">
      <t>ツウロユウドウトウ</t>
    </rPh>
    <phoneticPr fontId="8"/>
  </si>
  <si>
    <t>避難口誘導灯</t>
    <rPh sb="0" eb="2">
      <t>ヒナン</t>
    </rPh>
    <rPh sb="2" eb="3">
      <t>グチ</t>
    </rPh>
    <rPh sb="3" eb="6">
      <t>ユウドウトウ</t>
    </rPh>
    <phoneticPr fontId="8"/>
  </si>
  <si>
    <t>FDL18W</t>
    <phoneticPr fontId="4"/>
  </si>
  <si>
    <t>m85</t>
    <phoneticPr fontId="4"/>
  </si>
  <si>
    <t>遊戯室前室，廊下</t>
    <rPh sb="0" eb="5">
      <t>ユウギシツゼンシツ</t>
    </rPh>
    <rPh sb="6" eb="8">
      <t>ロウカ</t>
    </rPh>
    <phoneticPr fontId="8"/>
  </si>
  <si>
    <t>EPS</t>
    <phoneticPr fontId="8"/>
  </si>
  <si>
    <t>EPS</t>
    <phoneticPr fontId="4"/>
  </si>
  <si>
    <t>B201K</t>
    <phoneticPr fontId="4"/>
  </si>
  <si>
    <t>CF3W</t>
    <phoneticPr fontId="4"/>
  </si>
  <si>
    <t>避難口誘導灯　音声＋点滅</t>
    <rPh sb="0" eb="6">
      <t>ヒナングチユウドウトウ</t>
    </rPh>
    <rPh sb="7" eb="9">
      <t>オンセイ</t>
    </rPh>
    <rPh sb="10" eb="12">
      <t>テンメツ</t>
    </rPh>
    <phoneticPr fontId="4"/>
  </si>
  <si>
    <t>避難表示灯</t>
    <rPh sb="0" eb="5">
      <t>ヒナンヒョウジトウ</t>
    </rPh>
    <phoneticPr fontId="4"/>
  </si>
  <si>
    <t>A401</t>
    <phoneticPr fontId="4"/>
  </si>
  <si>
    <t>FL40W ＋PIL100V40WS35E17</t>
    <phoneticPr fontId="8"/>
  </si>
  <si>
    <t>FL40SW＋PIL100V40WS35E17</t>
    <phoneticPr fontId="4"/>
  </si>
  <si>
    <t>避難口誘導灯　音声＋点滅</t>
    <rPh sb="0" eb="6">
      <t>ヒナングチユウドウトウ</t>
    </rPh>
    <phoneticPr fontId="4"/>
  </si>
  <si>
    <t>通路誘導灯　音声＋点滅</t>
    <rPh sb="0" eb="2">
      <t>ツウロ</t>
    </rPh>
    <rPh sb="2" eb="5">
      <t>ユウドウトウ</t>
    </rPh>
    <phoneticPr fontId="4"/>
  </si>
  <si>
    <t>通路誘導灯</t>
    <rPh sb="0" eb="2">
      <t>ツウロ</t>
    </rPh>
    <rPh sb="2" eb="5">
      <t>ユウドウトウ</t>
    </rPh>
    <phoneticPr fontId="4"/>
  </si>
  <si>
    <t>収納庫(A-階段室隣)</t>
    <rPh sb="0" eb="3">
      <t>シュウノウコ</t>
    </rPh>
    <rPh sb="6" eb="9">
      <t>カイダンシツ</t>
    </rPh>
    <rPh sb="9" eb="10">
      <t>トナリ</t>
    </rPh>
    <phoneticPr fontId="4"/>
  </si>
  <si>
    <t>逆富士</t>
    <phoneticPr fontId="8"/>
  </si>
  <si>
    <t>トラフ</t>
    <phoneticPr fontId="8"/>
  </si>
  <si>
    <t>笠付</t>
    <phoneticPr fontId="8"/>
  </si>
  <si>
    <t>埋込W300</t>
    <phoneticPr fontId="8"/>
  </si>
  <si>
    <t>埋込　スクエア□350</t>
    <phoneticPr fontId="8"/>
  </si>
  <si>
    <t>避難口誘導灯</t>
    <rPh sb="0" eb="3">
      <t>ヒナングチ</t>
    </rPh>
    <rPh sb="3" eb="6">
      <t>ユウドウトウ</t>
    </rPh>
    <phoneticPr fontId="8"/>
  </si>
  <si>
    <t>コ402</t>
    <phoneticPr fontId="4"/>
  </si>
  <si>
    <t>ク201</t>
    <phoneticPr fontId="4"/>
  </si>
  <si>
    <t>通路誘導灯</t>
    <rPh sb="0" eb="2">
      <t>ツウロ</t>
    </rPh>
    <rPh sb="2" eb="5">
      <t>ユウドウトウ</t>
    </rPh>
    <phoneticPr fontId="8"/>
  </si>
  <si>
    <t>トラフ　防水</t>
    <rPh sb="4" eb="6">
      <t>ボウスイ</t>
    </rPh>
    <phoneticPr fontId="8"/>
  </si>
  <si>
    <t>ブラケット</t>
    <phoneticPr fontId="4"/>
  </si>
  <si>
    <t>ダウンライト　φ150</t>
    <phoneticPr fontId="8"/>
  </si>
  <si>
    <t xml:space="preserve">埋込W300 </t>
    <rPh sb="0" eb="2">
      <t>ウメコミ</t>
    </rPh>
    <phoneticPr fontId="8"/>
  </si>
  <si>
    <t>埋込W300　非常照明付　電源別置</t>
    <rPh sb="7" eb="9">
      <t>ヒジョウ</t>
    </rPh>
    <rPh sb="9" eb="11">
      <t>ショウメイ</t>
    </rPh>
    <rPh sb="11" eb="12">
      <t>ツキ</t>
    </rPh>
    <rPh sb="13" eb="15">
      <t>デンゲン</t>
    </rPh>
    <rPh sb="15" eb="17">
      <t>ベッチ</t>
    </rPh>
    <phoneticPr fontId="8"/>
  </si>
  <si>
    <t>埋込W220　SUS</t>
    <phoneticPr fontId="8"/>
  </si>
  <si>
    <t>埋込W220</t>
    <phoneticPr fontId="8"/>
  </si>
  <si>
    <t>ブラケット</t>
    <phoneticPr fontId="8"/>
  </si>
  <si>
    <t>片反射</t>
    <rPh sb="0" eb="3">
      <t>カタハンシャ</t>
    </rPh>
    <phoneticPr fontId="8"/>
  </si>
  <si>
    <t>ダウンライト　φ125</t>
    <phoneticPr fontId="8"/>
  </si>
  <si>
    <t>防水型放電灯</t>
    <phoneticPr fontId="4"/>
  </si>
  <si>
    <t xml:space="preserve">HQI250W </t>
    <phoneticPr fontId="4"/>
  </si>
  <si>
    <t>埋込　スクエア□275</t>
    <phoneticPr fontId="8"/>
  </si>
  <si>
    <t>ダウンライト　φ75</t>
    <phoneticPr fontId="8"/>
  </si>
  <si>
    <t>IL50W</t>
    <phoneticPr fontId="4"/>
  </si>
  <si>
    <t>埋込</t>
    <rPh sb="0" eb="2">
      <t>ウメコミ</t>
    </rPh>
    <phoneticPr fontId="8"/>
  </si>
  <si>
    <t>ノ40B</t>
    <phoneticPr fontId="4"/>
  </si>
  <si>
    <t>埋込　電源別置</t>
    <rPh sb="0" eb="2">
      <t>ウメコミ</t>
    </rPh>
    <rPh sb="3" eb="7">
      <t>デンゲンベッチ</t>
    </rPh>
    <phoneticPr fontId="8"/>
  </si>
  <si>
    <t>逆富士　防湿型</t>
    <rPh sb="4" eb="7">
      <t>ボウシツガタ</t>
    </rPh>
    <phoneticPr fontId="8"/>
  </si>
  <si>
    <t>埋込W220　非常照明付　電源別置</t>
    <rPh sb="7" eb="12">
      <t>ヒジョウショウメイツ</t>
    </rPh>
    <rPh sb="13" eb="17">
      <t>デンゲンベッチ</t>
    </rPh>
    <phoneticPr fontId="8"/>
  </si>
  <si>
    <t>IL100W</t>
    <phoneticPr fontId="4"/>
  </si>
  <si>
    <t>B402</t>
    <phoneticPr fontId="4"/>
  </si>
  <si>
    <t>逆富士　非常照明　電源別置</t>
    <rPh sb="4" eb="8">
      <t>ヒジョウショウメイ</t>
    </rPh>
    <rPh sb="9" eb="13">
      <t>デンゲンベッチ</t>
    </rPh>
    <phoneticPr fontId="8"/>
  </si>
  <si>
    <t>埋込　スクエア□600</t>
    <phoneticPr fontId="8"/>
  </si>
  <si>
    <t>ダウンライト　角形□150</t>
    <rPh sb="7" eb="9">
      <t>カクガタ</t>
    </rPh>
    <phoneticPr fontId="8"/>
  </si>
  <si>
    <t>IL60W</t>
    <phoneticPr fontId="4"/>
  </si>
  <si>
    <t>棚下灯</t>
    <rPh sb="0" eb="3">
      <t>タナシタトウ</t>
    </rPh>
    <phoneticPr fontId="8"/>
  </si>
  <si>
    <t>ダウンライト　φ200</t>
    <phoneticPr fontId="8"/>
  </si>
  <si>
    <t>埋込W300　非常照明　電源別置</t>
    <rPh sb="7" eb="11">
      <t>ヒジョウショウメイ</t>
    </rPh>
    <rPh sb="12" eb="16">
      <t>デンゲンベッチ</t>
    </rPh>
    <phoneticPr fontId="8"/>
  </si>
  <si>
    <t>笠付</t>
    <rPh sb="0" eb="2">
      <t>カサツキ</t>
    </rPh>
    <phoneticPr fontId="8"/>
  </si>
  <si>
    <t>直付白熱灯</t>
    <rPh sb="0" eb="2">
      <t>ジカヅ</t>
    </rPh>
    <rPh sb="2" eb="5">
      <t>ハクネツトウ</t>
    </rPh>
    <phoneticPr fontId="8"/>
  </si>
  <si>
    <t>直付白熱灯</t>
    <rPh sb="0" eb="5">
      <t>チョクフハクネツトウ</t>
    </rPh>
    <phoneticPr fontId="8"/>
  </si>
  <si>
    <t>埋込　スクエア□450</t>
    <phoneticPr fontId="8"/>
  </si>
  <si>
    <t>埋込　φ420　電動昇降式</t>
    <rPh sb="0" eb="1">
      <t>ウ</t>
    </rPh>
    <rPh sb="1" eb="2">
      <t>コ</t>
    </rPh>
    <rPh sb="8" eb="13">
      <t>デンドウショウコウシキ</t>
    </rPh>
    <phoneticPr fontId="8"/>
  </si>
  <si>
    <t>笠付　パイプ吊</t>
    <rPh sb="6" eb="7">
      <t>ツリ</t>
    </rPh>
    <phoneticPr fontId="8"/>
  </si>
  <si>
    <t>片反射　ガード付</t>
    <rPh sb="0" eb="3">
      <t>カタハンシャ</t>
    </rPh>
    <rPh sb="7" eb="8">
      <t>ツ</t>
    </rPh>
    <phoneticPr fontId="8"/>
  </si>
  <si>
    <t>逆富士</t>
    <rPh sb="0" eb="1">
      <t>ギャク</t>
    </rPh>
    <rPh sb="1" eb="3">
      <t>フジ</t>
    </rPh>
    <phoneticPr fontId="8"/>
  </si>
  <si>
    <t>流し元灯</t>
    <rPh sb="0" eb="1">
      <t>ナガ</t>
    </rPh>
    <rPh sb="2" eb="4">
      <t>モトトウ</t>
    </rPh>
    <phoneticPr fontId="8"/>
  </si>
  <si>
    <t>埋込W190</t>
    <phoneticPr fontId="8"/>
  </si>
  <si>
    <t>埋込W600</t>
    <phoneticPr fontId="8"/>
  </si>
  <si>
    <t>埋込W600　非常照明　電源別置</t>
    <rPh sb="7" eb="11">
      <t>ヒジョウショウメイ</t>
    </rPh>
    <rPh sb="12" eb="16">
      <t>デンゲンベッチ</t>
    </rPh>
    <phoneticPr fontId="8"/>
  </si>
  <si>
    <t>ブラケット　WP</t>
    <phoneticPr fontId="8"/>
  </si>
  <si>
    <t>埋込　スクエア□350 和風</t>
    <rPh sb="0" eb="2">
      <t>ウメコミ</t>
    </rPh>
    <rPh sb="12" eb="14">
      <t>ワフウ</t>
    </rPh>
    <phoneticPr fontId="8"/>
  </si>
  <si>
    <t>埋込　スクエア□150 和風</t>
    <rPh sb="0" eb="2">
      <t>ウメコミ</t>
    </rPh>
    <rPh sb="12" eb="14">
      <t>ワフウ</t>
    </rPh>
    <phoneticPr fontId="8"/>
  </si>
  <si>
    <t>埋込W220</t>
    <rPh sb="0" eb="2">
      <t>ウメコミ</t>
    </rPh>
    <phoneticPr fontId="8"/>
  </si>
  <si>
    <t>埋込W450</t>
    <phoneticPr fontId="8"/>
  </si>
  <si>
    <t>埋込　φ200</t>
    <rPh sb="0" eb="1">
      <t>ウ</t>
    </rPh>
    <rPh sb="1" eb="2">
      <t>コ</t>
    </rPh>
    <phoneticPr fontId="8"/>
  </si>
  <si>
    <t>ミラー灯</t>
    <rPh sb="3" eb="4">
      <t>トウ</t>
    </rPh>
    <phoneticPr fontId="8"/>
  </si>
  <si>
    <t>直付白熱灯</t>
    <rPh sb="0" eb="2">
      <t>チョクフ</t>
    </rPh>
    <rPh sb="2" eb="5">
      <t>ハクネツトウ</t>
    </rPh>
    <phoneticPr fontId="8"/>
  </si>
  <si>
    <t>ダウンライト　□250</t>
    <phoneticPr fontId="8"/>
  </si>
  <si>
    <t>ダウンライト　埋込型蛍光灯</t>
    <rPh sb="7" eb="8">
      <t>ウ</t>
    </rPh>
    <rPh sb="8" eb="9">
      <t>コ</t>
    </rPh>
    <rPh sb="9" eb="10">
      <t>ガタ</t>
    </rPh>
    <rPh sb="10" eb="13">
      <t>ケイコウトウ</t>
    </rPh>
    <phoneticPr fontId="4"/>
  </si>
  <si>
    <t>ﾐﾆﾊﾛｹﾞﾝ85W</t>
    <phoneticPr fontId="8"/>
  </si>
  <si>
    <t>ｽﾎﾟｯﾄﾗｲﾄ　ﾗｲﾃｨﾝｸﾞﾚｰﾙ用</t>
    <rPh sb="19" eb="20">
      <t>ヨウ</t>
    </rPh>
    <phoneticPr fontId="8"/>
  </si>
  <si>
    <t>I966</t>
    <phoneticPr fontId="4"/>
  </si>
  <si>
    <t>丸形埋込蛍光灯器具　φ1200</t>
    <rPh sb="4" eb="7">
      <t>ケイコウトウ</t>
    </rPh>
    <phoneticPr fontId="8"/>
  </si>
  <si>
    <t>間接トラフ</t>
    <rPh sb="0" eb="2">
      <t>カンセツ</t>
    </rPh>
    <phoneticPr fontId="8"/>
  </si>
  <si>
    <t>埋込W300　連結左</t>
    <rPh sb="7" eb="9">
      <t>レンケツ</t>
    </rPh>
    <rPh sb="9" eb="10">
      <t>ヒダリ</t>
    </rPh>
    <phoneticPr fontId="8"/>
  </si>
  <si>
    <t>埋込W300　連結右</t>
    <rPh sb="7" eb="9">
      <t>レンケツ</t>
    </rPh>
    <rPh sb="9" eb="10">
      <t>ミギ</t>
    </rPh>
    <phoneticPr fontId="8"/>
  </si>
  <si>
    <t>埋込W300　非常照明　電池内蔵</t>
    <rPh sb="7" eb="11">
      <t>ヒジョウショウメイ</t>
    </rPh>
    <rPh sb="12" eb="16">
      <t>デンチナイゾウ</t>
    </rPh>
    <phoneticPr fontId="8"/>
  </si>
  <si>
    <t>壁付　非常照明　電池内蔵</t>
    <rPh sb="0" eb="2">
      <t>カヘ</t>
    </rPh>
    <rPh sb="3" eb="7">
      <t>ヒジョウショウメイ</t>
    </rPh>
    <rPh sb="8" eb="12">
      <t>デンチナイゾウ</t>
    </rPh>
    <phoneticPr fontId="8"/>
  </si>
  <si>
    <t>壁付防水型白熱灯</t>
    <rPh sb="0" eb="2">
      <t>カヘ</t>
    </rPh>
    <rPh sb="2" eb="5">
      <t>ボウスイガタ</t>
    </rPh>
    <rPh sb="5" eb="8">
      <t>ハクネツトウ</t>
    </rPh>
    <phoneticPr fontId="8"/>
  </si>
  <si>
    <t>埋込W300　非常照明　電源別置　</t>
    <rPh sb="7" eb="11">
      <t>ヒジョウショウメイ</t>
    </rPh>
    <rPh sb="12" eb="16">
      <t>デンゲンベッチ</t>
    </rPh>
    <phoneticPr fontId="8"/>
  </si>
  <si>
    <t>男子更衣室</t>
    <phoneticPr fontId="4"/>
  </si>
  <si>
    <t>埋込　スクエア外寸□490</t>
    <rPh sb="0" eb="2">
      <t>ウメコミ</t>
    </rPh>
    <rPh sb="7" eb="9">
      <t>ソトスン</t>
    </rPh>
    <phoneticPr fontId="8"/>
  </si>
  <si>
    <t>MF400W</t>
    <phoneticPr fontId="4"/>
  </si>
  <si>
    <t>高天井器具</t>
    <phoneticPr fontId="8"/>
  </si>
  <si>
    <t>高天井器具</t>
    <phoneticPr fontId="4"/>
  </si>
  <si>
    <t>MF700W</t>
    <phoneticPr fontId="4"/>
  </si>
  <si>
    <t>非常灯　電源別置　φ200</t>
    <rPh sb="0" eb="3">
      <t>ヒジョウトウ</t>
    </rPh>
    <rPh sb="4" eb="8">
      <t>デンゲンベッチ</t>
    </rPh>
    <phoneticPr fontId="8"/>
  </si>
  <si>
    <t>チェーン吊</t>
    <rPh sb="4" eb="5">
      <t>ツリ</t>
    </rPh>
    <phoneticPr fontId="4"/>
  </si>
  <si>
    <t>笠付　非常照明付　電池内蔵</t>
    <rPh sb="0" eb="2">
      <t>カサツキ</t>
    </rPh>
    <rPh sb="3" eb="5">
      <t>ヒジョウ</t>
    </rPh>
    <rPh sb="5" eb="7">
      <t>ショウメイ</t>
    </rPh>
    <rPh sb="7" eb="8">
      <t>ツキ</t>
    </rPh>
    <rPh sb="9" eb="13">
      <t>デンチナイゾウ</t>
    </rPh>
    <phoneticPr fontId="8"/>
  </si>
  <si>
    <t>笠付　パイプ吊</t>
    <rPh sb="0" eb="2">
      <t>カサツキ</t>
    </rPh>
    <rPh sb="6" eb="7">
      <t>ツリ</t>
    </rPh>
    <phoneticPr fontId="8"/>
  </si>
  <si>
    <t>B401G</t>
    <phoneticPr fontId="4"/>
  </si>
  <si>
    <t>C401P</t>
    <phoneticPr fontId="4"/>
  </si>
  <si>
    <t>C401</t>
    <phoneticPr fontId="4"/>
  </si>
  <si>
    <t>C402</t>
    <phoneticPr fontId="4"/>
  </si>
  <si>
    <t>C402B</t>
    <phoneticPr fontId="4"/>
  </si>
  <si>
    <t>警備室(監視室)</t>
    <rPh sb="4" eb="7">
      <t>カンシシツ</t>
    </rPh>
    <phoneticPr fontId="4"/>
  </si>
  <si>
    <t>冷陰極</t>
    <rPh sb="0" eb="3">
      <t>レイインキョク</t>
    </rPh>
    <phoneticPr fontId="4"/>
  </si>
  <si>
    <t>MT150W</t>
    <phoneticPr fontId="4"/>
  </si>
  <si>
    <t>MF200W</t>
    <phoneticPr fontId="4"/>
  </si>
  <si>
    <t>FPL28W</t>
    <phoneticPr fontId="4"/>
  </si>
  <si>
    <t>FPL27W</t>
    <phoneticPr fontId="4"/>
  </si>
  <si>
    <t>FDL27W</t>
    <phoneticPr fontId="4"/>
  </si>
  <si>
    <t>FPL55W</t>
    <phoneticPr fontId="4"/>
  </si>
  <si>
    <t>HF70W</t>
    <phoneticPr fontId="4"/>
  </si>
  <si>
    <t>FPL36W</t>
    <phoneticPr fontId="4"/>
  </si>
  <si>
    <t>HQI250W</t>
    <phoneticPr fontId="4"/>
  </si>
  <si>
    <t>FDL55W</t>
    <phoneticPr fontId="4"/>
  </si>
  <si>
    <t>設定ベースライン</t>
    <rPh sb="0" eb="2">
      <t>セッテイ</t>
    </rPh>
    <phoneticPr fontId="4"/>
  </si>
  <si>
    <t>直近36ヶ月中12か月当り平均</t>
    <rPh sb="0" eb="2">
      <t>チョッキン</t>
    </rPh>
    <rPh sb="5" eb="6">
      <t>ゲツ</t>
    </rPh>
    <rPh sb="6" eb="7">
      <t>チュウ</t>
    </rPh>
    <rPh sb="10" eb="11">
      <t>ゲツ</t>
    </rPh>
    <rPh sb="11" eb="12">
      <t>アタ</t>
    </rPh>
    <rPh sb="13" eb="15">
      <t>ヘイキン</t>
    </rPh>
    <phoneticPr fontId="4"/>
  </si>
  <si>
    <t>照明設備分含む全使用電力</t>
    <rPh sb="0" eb="2">
      <t>ショウメイ</t>
    </rPh>
    <rPh sb="2" eb="4">
      <t>セツビ</t>
    </rPh>
    <rPh sb="4" eb="5">
      <t>ブン</t>
    </rPh>
    <rPh sb="5" eb="6">
      <t>フク</t>
    </rPh>
    <rPh sb="7" eb="8">
      <t>ゼン</t>
    </rPh>
    <rPh sb="8" eb="12">
      <t>シヨウデンリョク</t>
    </rPh>
    <phoneticPr fontId="4"/>
  </si>
  <si>
    <t>電力料金</t>
    <rPh sb="0" eb="4">
      <t>デンリョクリョウキン</t>
    </rPh>
    <phoneticPr fontId="4"/>
  </si>
  <si>
    <t>燃料費調整額</t>
    <rPh sb="0" eb="6">
      <t>ネンリョウヒチョウセイガク</t>
    </rPh>
    <phoneticPr fontId="4"/>
  </si>
  <si>
    <t>再エネ発電賦課金</t>
    <rPh sb="0" eb="1">
      <t>サイ</t>
    </rPh>
    <rPh sb="3" eb="5">
      <t>ハツデン</t>
    </rPh>
    <rPh sb="5" eb="8">
      <t>フカキン</t>
    </rPh>
    <phoneticPr fontId="4"/>
  </si>
  <si>
    <t>電力単価</t>
    <rPh sb="0" eb="4">
      <t>デンリョクタンカ</t>
    </rPh>
    <phoneticPr fontId="4"/>
  </si>
  <si>
    <t>R6.2</t>
  </si>
  <si>
    <t>R6.3</t>
  </si>
  <si>
    <t>R6.4</t>
  </si>
  <si>
    <t>R6.5</t>
  </si>
  <si>
    <t>R6.6</t>
  </si>
  <si>
    <t>R6.7</t>
  </si>
  <si>
    <t>R6.8</t>
  </si>
  <si>
    <t>R6.9</t>
  </si>
  <si>
    <t>R6.10</t>
  </si>
  <si>
    <t>R6.11</t>
    <phoneticPr fontId="4"/>
  </si>
  <si>
    <t>R6.12</t>
    <phoneticPr fontId="4"/>
  </si>
  <si>
    <t>R7.1</t>
    <phoneticPr fontId="4"/>
  </si>
  <si>
    <t>合計</t>
    <rPh sb="0" eb="2">
      <t>ゴウケイ</t>
    </rPh>
    <phoneticPr fontId="4"/>
  </si>
  <si>
    <t>月平均</t>
    <rPh sb="0" eb="3">
      <t>ツキヘイキン</t>
    </rPh>
    <phoneticPr fontId="4"/>
  </si>
  <si>
    <t>使用電力量（ｋWh）</t>
    <rPh sb="0" eb="5">
      <t>シヨウデンリョクリョウ</t>
    </rPh>
    <phoneticPr fontId="4"/>
  </si>
  <si>
    <t>電力量料金</t>
    <rPh sb="0" eb="3">
      <t>デンリョクリョウ</t>
    </rPh>
    <rPh sb="3" eb="5">
      <t>リョウキン</t>
    </rPh>
    <phoneticPr fontId="4"/>
  </si>
  <si>
    <t>燃料費調整額</t>
    <rPh sb="0" eb="3">
      <t>ネンリョウヒ</t>
    </rPh>
    <rPh sb="3" eb="5">
      <t>チョウセイ</t>
    </rPh>
    <rPh sb="5" eb="6">
      <t>ガク</t>
    </rPh>
    <phoneticPr fontId="4"/>
  </si>
  <si>
    <t>電力単価</t>
    <rPh sb="0" eb="2">
      <t>デンリョク</t>
    </rPh>
    <rPh sb="2" eb="4">
      <t>タンカ</t>
    </rPh>
    <phoneticPr fontId="4"/>
  </si>
  <si>
    <t>R5.2</t>
  </si>
  <si>
    <t>R5.3</t>
  </si>
  <si>
    <t>R5.4</t>
  </si>
  <si>
    <t>R5.5</t>
  </si>
  <si>
    <t>R5.6</t>
  </si>
  <si>
    <t>R5.7</t>
  </si>
  <si>
    <t>R5.8</t>
  </si>
  <si>
    <t>R5.9</t>
  </si>
  <si>
    <t>R5.10</t>
  </si>
  <si>
    <t>R5.11</t>
    <phoneticPr fontId="4"/>
  </si>
  <si>
    <t>R5.12</t>
    <phoneticPr fontId="4"/>
  </si>
  <si>
    <t>R6.1</t>
    <phoneticPr fontId="4"/>
  </si>
  <si>
    <t>R4.2</t>
  </si>
  <si>
    <t>R4.3</t>
  </si>
  <si>
    <t>R4.4</t>
  </si>
  <si>
    <t>R4.5</t>
  </si>
  <si>
    <t>R4.6</t>
  </si>
  <si>
    <t>R4.7</t>
  </si>
  <si>
    <t>R4.8</t>
  </si>
  <si>
    <t>R4.9</t>
  </si>
  <si>
    <t>R4.10</t>
  </si>
  <si>
    <t>R4.11</t>
    <phoneticPr fontId="4"/>
  </si>
  <si>
    <t>R4.12</t>
    <phoneticPr fontId="4"/>
  </si>
  <si>
    <t>R5.1</t>
    <phoneticPr fontId="4"/>
  </si>
  <si>
    <t>照明設備稼働時間</t>
    <rPh sb="0" eb="2">
      <t>ショウメイ</t>
    </rPh>
    <rPh sb="2" eb="4">
      <t>セツビ</t>
    </rPh>
    <rPh sb="4" eb="8">
      <t>カドウジカン</t>
    </rPh>
    <phoneticPr fontId="4"/>
  </si>
  <si>
    <t>室種別名称</t>
    <rPh sb="0" eb="1">
      <t>シツ</t>
    </rPh>
    <rPh sb="1" eb="3">
      <t>シュベツ</t>
    </rPh>
    <rPh sb="3" eb="5">
      <t>メイショウ</t>
    </rPh>
    <phoneticPr fontId="4"/>
  </si>
  <si>
    <t>稼働時間帯</t>
    <rPh sb="0" eb="5">
      <t>カドウジカンタイ</t>
    </rPh>
    <phoneticPr fontId="4"/>
  </si>
  <si>
    <t>稼働時間
ｈ/ｄ</t>
    <rPh sb="0" eb="4">
      <t>カドウジカン</t>
    </rPh>
    <phoneticPr fontId="4"/>
  </si>
  <si>
    <t>稼働日数
ｄ/ｙ</t>
    <rPh sb="0" eb="2">
      <t>カドウ</t>
    </rPh>
    <rPh sb="2" eb="4">
      <t>ニッスウ</t>
    </rPh>
    <phoneticPr fontId="4"/>
  </si>
  <si>
    <t>年間稼働時間
ｈ/ｙ</t>
    <rPh sb="0" eb="2">
      <t>ネンカン</t>
    </rPh>
    <rPh sb="2" eb="6">
      <t>カドウジカン</t>
    </rPh>
    <phoneticPr fontId="4"/>
  </si>
  <si>
    <t>共用部</t>
    <rPh sb="0" eb="3">
      <t>キョウヨウブ</t>
    </rPh>
    <phoneticPr fontId="4"/>
  </si>
  <si>
    <t>廊下・階段室・給湯室他</t>
    <rPh sb="0" eb="2">
      <t>ロウカ</t>
    </rPh>
    <rPh sb="3" eb="6">
      <t>カイダンシツ</t>
    </rPh>
    <rPh sb="7" eb="10">
      <t>キュウトウシツ</t>
    </rPh>
    <rPh sb="10" eb="11">
      <t>ホカ</t>
    </rPh>
    <phoneticPr fontId="4"/>
  </si>
  <si>
    <t>湯沸室</t>
    <rPh sb="0" eb="2">
      <t>ユワカシ</t>
    </rPh>
    <rPh sb="2" eb="3">
      <t>シツ</t>
    </rPh>
    <phoneticPr fontId="4"/>
  </si>
  <si>
    <t>登庁時，退庁時0.5ｈ</t>
    <rPh sb="0" eb="2">
      <t>トウチョウ</t>
    </rPh>
    <rPh sb="2" eb="3">
      <t>ジ</t>
    </rPh>
    <rPh sb="4" eb="7">
      <t>タイチョウジ</t>
    </rPh>
    <phoneticPr fontId="4"/>
  </si>
  <si>
    <t>倉庫等</t>
    <rPh sb="0" eb="2">
      <t>ソウコ</t>
    </rPh>
    <rPh sb="2" eb="3">
      <t>トウ</t>
    </rPh>
    <phoneticPr fontId="4"/>
  </si>
  <si>
    <t>00：00～24：00</t>
    <phoneticPr fontId="4"/>
  </si>
  <si>
    <t>非常用照明</t>
    <rPh sb="0" eb="5">
      <t>ヒジョウヨウショウメイ</t>
    </rPh>
    <phoneticPr fontId="4"/>
  </si>
  <si>
    <t>その他</t>
    <rPh sb="2" eb="3">
      <t>タ</t>
    </rPh>
    <phoneticPr fontId="4"/>
  </si>
  <si>
    <t>照明器具一覧</t>
    <rPh sb="0" eb="4">
      <t>ショウメイキグ</t>
    </rPh>
    <rPh sb="4" eb="6">
      <t>イチラン</t>
    </rPh>
    <phoneticPr fontId="4"/>
  </si>
  <si>
    <t>№</t>
    <phoneticPr fontId="4"/>
  </si>
  <si>
    <t>検索用</t>
    <rPh sb="0" eb="3">
      <t>ケンサクヨウ</t>
    </rPh>
    <phoneticPr fontId="4"/>
  </si>
  <si>
    <t>照明器具</t>
    <rPh sb="0" eb="4">
      <t>ショウメイキグ</t>
    </rPh>
    <phoneticPr fontId="4"/>
  </si>
  <si>
    <t>照明器具仕様</t>
    <rPh sb="0" eb="6">
      <t>ショウメイキグシヨウ</t>
    </rPh>
    <phoneticPr fontId="4"/>
  </si>
  <si>
    <t>消費電力　W/台</t>
    <rPh sb="0" eb="4">
      <t>ショウヒデンリョク</t>
    </rPh>
    <rPh sb="7" eb="8">
      <t>ダイ</t>
    </rPh>
    <phoneticPr fontId="4"/>
  </si>
  <si>
    <t>照明器具
（更新対象）</t>
    <rPh sb="0" eb="2">
      <t>ショウメイ</t>
    </rPh>
    <rPh sb="2" eb="4">
      <t>キグ</t>
    </rPh>
    <rPh sb="6" eb="10">
      <t>コウシンタイショウ</t>
    </rPh>
    <phoneticPr fontId="4"/>
  </si>
  <si>
    <t>照明器具
（更新対象外）</t>
    <rPh sb="0" eb="2">
      <t>ショウメイ</t>
    </rPh>
    <rPh sb="2" eb="4">
      <t>キグ</t>
    </rPh>
    <rPh sb="6" eb="8">
      <t>コウシン</t>
    </rPh>
    <rPh sb="8" eb="11">
      <t>タイショウガイ</t>
    </rPh>
    <phoneticPr fontId="4"/>
  </si>
  <si>
    <t>誘導灯
（更新対象）</t>
    <rPh sb="0" eb="3">
      <t>ユウドウトウ</t>
    </rPh>
    <rPh sb="5" eb="9">
      <t>コウシンタイショウ</t>
    </rPh>
    <phoneticPr fontId="4"/>
  </si>
  <si>
    <t>非常照明
（更新対象）</t>
    <rPh sb="0" eb="2">
      <t>ヒジョウ</t>
    </rPh>
    <rPh sb="2" eb="4">
      <t>ショウメイ</t>
    </rPh>
    <rPh sb="6" eb="10">
      <t>コウシンタイショウ</t>
    </rPh>
    <phoneticPr fontId="4"/>
  </si>
  <si>
    <t>更新
対象</t>
    <rPh sb="0" eb="2">
      <t>コウシン</t>
    </rPh>
    <rPh sb="3" eb="5">
      <t>タイショウ</t>
    </rPh>
    <phoneticPr fontId="4"/>
  </si>
  <si>
    <t>室種別名称</t>
    <rPh sb="0" eb="3">
      <t>シツシュベツ</t>
    </rPh>
    <rPh sb="3" eb="5">
      <t>メイショウ</t>
    </rPh>
    <phoneticPr fontId="4"/>
  </si>
  <si>
    <t>年間
点灯時間</t>
    <rPh sb="0" eb="2">
      <t>ネンカン</t>
    </rPh>
    <rPh sb="3" eb="5">
      <t>テントウ</t>
    </rPh>
    <rPh sb="5" eb="7">
      <t>ジカン</t>
    </rPh>
    <phoneticPr fontId="4"/>
  </si>
  <si>
    <t>消費電力
(W/台)</t>
    <rPh sb="0" eb="4">
      <t>ショウヒデンリョク</t>
    </rPh>
    <rPh sb="8" eb="9">
      <t>ダイ</t>
    </rPh>
    <phoneticPr fontId="4"/>
  </si>
  <si>
    <t>稼働率</t>
    <rPh sb="0" eb="3">
      <t>カドウリツ</t>
    </rPh>
    <phoneticPr fontId="4"/>
  </si>
  <si>
    <t>■</t>
  </si>
  <si>
    <t>□</t>
  </si>
  <si>
    <t>R6年度</t>
    <rPh sb="2" eb="4">
      <t>ネンド</t>
    </rPh>
    <phoneticPr fontId="4"/>
  </si>
  <si>
    <t>平均</t>
    <rPh sb="0" eb="2">
      <t>ヘイキン</t>
    </rPh>
    <phoneticPr fontId="4"/>
  </si>
  <si>
    <t>使用電力量(kWh)</t>
    <rPh sb="0" eb="5">
      <t>シヨウデンリョクリョウ</t>
    </rPh>
    <phoneticPr fontId="4"/>
  </si>
  <si>
    <t>燃料費調整額</t>
    <rPh sb="0" eb="3">
      <t>ネンリョウヒ</t>
    </rPh>
    <rPh sb="3" eb="6">
      <t>チョウセイガク</t>
    </rPh>
    <phoneticPr fontId="4"/>
  </si>
  <si>
    <t>電力量単価</t>
    <rPh sb="0" eb="5">
      <t>デンリョクリョウタンカ</t>
    </rPh>
    <phoneticPr fontId="4"/>
  </si>
  <si>
    <t>R5年度</t>
    <rPh sb="2" eb="4">
      <t>ネンド</t>
    </rPh>
    <phoneticPr fontId="4"/>
  </si>
  <si>
    <t>R4年度</t>
    <rPh sb="2" eb="4">
      <t>ネンド</t>
    </rPh>
    <phoneticPr fontId="4"/>
  </si>
  <si>
    <t>R3年度</t>
    <rPh sb="2" eb="4">
      <t>ネンド</t>
    </rPh>
    <phoneticPr fontId="4"/>
  </si>
  <si>
    <t>R2年度</t>
    <rPh sb="2" eb="4">
      <t>ネンド</t>
    </rPh>
    <phoneticPr fontId="4"/>
  </si>
  <si>
    <t>総合福祉センター直近３６ヶ月使用電力量</t>
    <rPh sb="0" eb="2">
      <t>ソウゴウ</t>
    </rPh>
    <rPh sb="2" eb="4">
      <t>フクシ</t>
    </rPh>
    <rPh sb="8" eb="10">
      <t>チョッキン</t>
    </rPh>
    <rPh sb="13" eb="14">
      <t>ゲツ</t>
    </rPh>
    <rPh sb="14" eb="19">
      <t>シヨウデンリョクリョウ</t>
    </rPh>
    <phoneticPr fontId="4"/>
  </si>
  <si>
    <t>総合福祉センター照明器具台数</t>
    <rPh sb="0" eb="2">
      <t>ソウゴウ</t>
    </rPh>
    <rPh sb="2" eb="4">
      <t>フクシ</t>
    </rPh>
    <rPh sb="8" eb="14">
      <t>ショウメイキグダイスウ</t>
    </rPh>
    <phoneticPr fontId="4"/>
  </si>
  <si>
    <t>O-1</t>
    <phoneticPr fontId="4"/>
  </si>
  <si>
    <t>O-2</t>
    <phoneticPr fontId="4"/>
  </si>
  <si>
    <t>B1-1</t>
    <phoneticPr fontId="4"/>
  </si>
  <si>
    <t>B1-2</t>
    <phoneticPr fontId="4"/>
  </si>
  <si>
    <t>B1-3</t>
  </si>
  <si>
    <t>B1-4</t>
  </si>
  <si>
    <t>B1-5</t>
  </si>
  <si>
    <t>B1-6</t>
  </si>
  <si>
    <t>B1-7</t>
  </si>
  <si>
    <t>B1-8</t>
  </si>
  <si>
    <t>B1-9</t>
  </si>
  <si>
    <t>B1-10</t>
  </si>
  <si>
    <t>B1-11</t>
  </si>
  <si>
    <t>B1-12</t>
  </si>
  <si>
    <t>B1-13</t>
  </si>
  <si>
    <t>B1-14</t>
  </si>
  <si>
    <t>B1-15</t>
  </si>
  <si>
    <t>B1-16</t>
  </si>
  <si>
    <t>B1-17</t>
  </si>
  <si>
    <t>B1-18</t>
  </si>
  <si>
    <t>B1-19</t>
  </si>
  <si>
    <t>B1-20</t>
  </si>
  <si>
    <t>B1-21</t>
  </si>
  <si>
    <t>B1-22</t>
  </si>
  <si>
    <t>B1-23</t>
  </si>
  <si>
    <t>B1-24</t>
  </si>
  <si>
    <t>B1-25</t>
  </si>
  <si>
    <t>1F-1</t>
    <phoneticPr fontId="4"/>
  </si>
  <si>
    <t>1F-2</t>
    <phoneticPr fontId="4"/>
  </si>
  <si>
    <t>1F-3</t>
  </si>
  <si>
    <t>1F-4</t>
  </si>
  <si>
    <t>1F-5</t>
  </si>
  <si>
    <t>1F-6</t>
  </si>
  <si>
    <t>1F-7</t>
  </si>
  <si>
    <t>1F-8</t>
  </si>
  <si>
    <t>1F-9</t>
  </si>
  <si>
    <t>1F-10</t>
  </si>
  <si>
    <t>1F-11</t>
  </si>
  <si>
    <t>1F-12</t>
  </si>
  <si>
    <t>1F-13</t>
  </si>
  <si>
    <t>1F-14</t>
  </si>
  <si>
    <t>1F-15</t>
  </si>
  <si>
    <t>1F-16</t>
  </si>
  <si>
    <t>1F-17</t>
  </si>
  <si>
    <t>1F-18</t>
  </si>
  <si>
    <t>1F-19</t>
  </si>
  <si>
    <t>1F-20</t>
  </si>
  <si>
    <t>1F-21</t>
  </si>
  <si>
    <t>1F-22</t>
  </si>
  <si>
    <t>1F-23</t>
  </si>
  <si>
    <t>1F-24</t>
  </si>
  <si>
    <t>1F-25</t>
  </si>
  <si>
    <t>1F-26</t>
  </si>
  <si>
    <t>1F-27</t>
  </si>
  <si>
    <t>1F-28</t>
  </si>
  <si>
    <t>1F-29</t>
  </si>
  <si>
    <t>1F-30</t>
  </si>
  <si>
    <t>1F-31</t>
  </si>
  <si>
    <t>1F-32</t>
  </si>
  <si>
    <t>1F-33</t>
  </si>
  <si>
    <t>1F-34</t>
  </si>
  <si>
    <t>1F-35</t>
  </si>
  <si>
    <t>1F-36</t>
  </si>
  <si>
    <t>1F-37</t>
  </si>
  <si>
    <t>1F-38</t>
  </si>
  <si>
    <t>1F-39</t>
  </si>
  <si>
    <t>1F-40</t>
  </si>
  <si>
    <t>1F-41</t>
  </si>
  <si>
    <t>1F-42</t>
  </si>
  <si>
    <t>1F-43</t>
  </si>
  <si>
    <t>1F-44</t>
  </si>
  <si>
    <t>1F-45</t>
  </si>
  <si>
    <t>1F-46</t>
  </si>
  <si>
    <t>1F-47</t>
  </si>
  <si>
    <t>1F-48</t>
  </si>
  <si>
    <t>1F-49</t>
  </si>
  <si>
    <t>1F-50</t>
  </si>
  <si>
    <t>1F-51</t>
  </si>
  <si>
    <t>1F-52</t>
  </si>
  <si>
    <t>1F-53</t>
  </si>
  <si>
    <t>1F-54</t>
  </si>
  <si>
    <t>1F-55</t>
  </si>
  <si>
    <t>1F-56</t>
  </si>
  <si>
    <t>1F-57</t>
  </si>
  <si>
    <t>1F-58</t>
  </si>
  <si>
    <t>1F-59</t>
  </si>
  <si>
    <t>1F-60</t>
  </si>
  <si>
    <t>1F-61</t>
  </si>
  <si>
    <t>1F-62</t>
  </si>
  <si>
    <t>1F-63</t>
  </si>
  <si>
    <t>1F-64</t>
  </si>
  <si>
    <t>1F-65</t>
  </si>
  <si>
    <t>1F-66</t>
  </si>
  <si>
    <t>1F-67</t>
  </si>
  <si>
    <t>1F-68</t>
  </si>
  <si>
    <t>1F-69</t>
  </si>
  <si>
    <t>1F-70</t>
  </si>
  <si>
    <t>1F-71</t>
  </si>
  <si>
    <t>1F-72</t>
  </si>
  <si>
    <t>1F-73</t>
  </si>
  <si>
    <t>1F-74</t>
  </si>
  <si>
    <t>1F-75</t>
  </si>
  <si>
    <t>1F-76</t>
  </si>
  <si>
    <t>1F-77</t>
  </si>
  <si>
    <t>1F-78</t>
  </si>
  <si>
    <t>1F-79</t>
  </si>
  <si>
    <t>1F-80</t>
  </si>
  <si>
    <t>1F-81</t>
  </si>
  <si>
    <t>1F-82</t>
  </si>
  <si>
    <t>1F-83</t>
  </si>
  <si>
    <t>1F-84</t>
  </si>
  <si>
    <t>1F-85</t>
  </si>
  <si>
    <t>1F-86</t>
  </si>
  <si>
    <t>1F-87</t>
  </si>
  <si>
    <t>1F-88</t>
  </si>
  <si>
    <t>1F-89</t>
  </si>
  <si>
    <t>1F-90</t>
  </si>
  <si>
    <t>1F-91</t>
  </si>
  <si>
    <t>1F-92</t>
  </si>
  <si>
    <t>1F-93</t>
  </si>
  <si>
    <t>1F-94</t>
  </si>
  <si>
    <t>1F-95</t>
  </si>
  <si>
    <t>1F-96</t>
  </si>
  <si>
    <t>1F-97</t>
  </si>
  <si>
    <t>1F-98</t>
  </si>
  <si>
    <t>1F-99</t>
  </si>
  <si>
    <t>1F-100</t>
  </si>
  <si>
    <t>1F-101</t>
  </si>
  <si>
    <t>1F-102</t>
  </si>
  <si>
    <t>1F-103</t>
  </si>
  <si>
    <t>1F-104</t>
  </si>
  <si>
    <t>1F-105</t>
  </si>
  <si>
    <t>1F-106</t>
  </si>
  <si>
    <t>1F-107</t>
  </si>
  <si>
    <t>1F-108</t>
  </si>
  <si>
    <t>1F-109</t>
  </si>
  <si>
    <t>1F-110</t>
  </si>
  <si>
    <t>1F-111</t>
  </si>
  <si>
    <t>1F-112</t>
  </si>
  <si>
    <t>1F-113</t>
  </si>
  <si>
    <t>1F-114</t>
  </si>
  <si>
    <t>1F-115</t>
  </si>
  <si>
    <t>1F-116</t>
  </si>
  <si>
    <t>1F-117</t>
  </si>
  <si>
    <t>1F-118</t>
  </si>
  <si>
    <t>1F-119</t>
  </si>
  <si>
    <t>1F-120</t>
  </si>
  <si>
    <t>1F-121</t>
  </si>
  <si>
    <t>1F-122</t>
  </si>
  <si>
    <t>1F-123</t>
  </si>
  <si>
    <t>1F-124</t>
  </si>
  <si>
    <t>1F-125</t>
  </si>
  <si>
    <t>1F-126</t>
  </si>
  <si>
    <t>1F-127</t>
  </si>
  <si>
    <t>1F-128</t>
  </si>
  <si>
    <t>1F-129</t>
  </si>
  <si>
    <t>2F-1</t>
    <phoneticPr fontId="4"/>
  </si>
  <si>
    <t>2F-3</t>
  </si>
  <si>
    <t>2F-2</t>
    <phoneticPr fontId="4"/>
  </si>
  <si>
    <t>2F-4</t>
  </si>
  <si>
    <t>2F-5</t>
  </si>
  <si>
    <t>2F-6</t>
  </si>
  <si>
    <t>2F-7</t>
  </si>
  <si>
    <t>2F-8</t>
  </si>
  <si>
    <t>2F-9</t>
  </si>
  <si>
    <t>2F-10</t>
  </si>
  <si>
    <t>2F-11</t>
  </si>
  <si>
    <t>2F-12</t>
  </si>
  <si>
    <t>2F-13</t>
  </si>
  <si>
    <t>2F-14</t>
  </si>
  <si>
    <t>2F-15</t>
  </si>
  <si>
    <t>2F-16</t>
  </si>
  <si>
    <t>2F-17</t>
  </si>
  <si>
    <t>2F-18</t>
  </si>
  <si>
    <t>2F-19</t>
  </si>
  <si>
    <t>2F-20</t>
  </si>
  <si>
    <t>2F-21</t>
  </si>
  <si>
    <t>2F-22</t>
  </si>
  <si>
    <t>2F-23</t>
  </si>
  <si>
    <t>2F-24</t>
  </si>
  <si>
    <t>2F-25</t>
  </si>
  <si>
    <t>2F-26</t>
  </si>
  <si>
    <t>2F-27</t>
  </si>
  <si>
    <t>2F-28</t>
  </si>
  <si>
    <t>2F-29</t>
  </si>
  <si>
    <t>2F-30</t>
  </si>
  <si>
    <t>2F-31</t>
  </si>
  <si>
    <t>2F-32</t>
  </si>
  <si>
    <t>2F-33</t>
  </si>
  <si>
    <t>2F-34</t>
  </si>
  <si>
    <t>2F-35</t>
  </si>
  <si>
    <t>2F-36</t>
  </si>
  <si>
    <t>2F-37</t>
  </si>
  <si>
    <t>2F-38</t>
  </si>
  <si>
    <t>2F-39</t>
  </si>
  <si>
    <t>2F-40</t>
  </si>
  <si>
    <t>2F-41</t>
  </si>
  <si>
    <t>2F-42</t>
  </si>
  <si>
    <t>2F-43</t>
  </si>
  <si>
    <t>2F-44</t>
  </si>
  <si>
    <t>2F-45</t>
  </si>
  <si>
    <t>2F-46</t>
  </si>
  <si>
    <t>2F-47</t>
  </si>
  <si>
    <t>2F-48</t>
  </si>
  <si>
    <t>2F-49</t>
  </si>
  <si>
    <t>2F-50</t>
  </si>
  <si>
    <t>2F-51</t>
  </si>
  <si>
    <t>2F-52</t>
  </si>
  <si>
    <t>2F-53</t>
  </si>
  <si>
    <t>2F-54</t>
  </si>
  <si>
    <t>2F-55</t>
  </si>
  <si>
    <t>2F-56</t>
  </si>
  <si>
    <t>2F-57</t>
  </si>
  <si>
    <t>2F-58</t>
  </si>
  <si>
    <t>2F-59</t>
  </si>
  <si>
    <t>2F-60</t>
  </si>
  <si>
    <t>2F-61</t>
  </si>
  <si>
    <t>2F-62</t>
  </si>
  <si>
    <t>2F-63</t>
  </si>
  <si>
    <t>2F-64</t>
  </si>
  <si>
    <t>2F-65</t>
  </si>
  <si>
    <t>2F-66</t>
  </si>
  <si>
    <t>2F-67</t>
  </si>
  <si>
    <t>2F-68</t>
  </si>
  <si>
    <t>2F-69</t>
  </si>
  <si>
    <t>2F-70</t>
  </si>
  <si>
    <t>2F-71</t>
  </si>
  <si>
    <t>2F-72</t>
  </si>
  <si>
    <t>2F-73</t>
  </si>
  <si>
    <t>2F-74</t>
  </si>
  <si>
    <t>2F-75</t>
  </si>
  <si>
    <t>2F-76</t>
  </si>
  <si>
    <t>2F-77</t>
  </si>
  <si>
    <t>2F-78</t>
  </si>
  <si>
    <t>2F-79</t>
  </si>
  <si>
    <t>2F-80</t>
  </si>
  <si>
    <t>2F-81</t>
  </si>
  <si>
    <t>2F-82</t>
  </si>
  <si>
    <t>2F-83</t>
  </si>
  <si>
    <t>2F-84</t>
  </si>
  <si>
    <t>2F-85</t>
  </si>
  <si>
    <t>2F-86</t>
  </si>
  <si>
    <t>2F-87</t>
  </si>
  <si>
    <t>2F-88</t>
  </si>
  <si>
    <t>2F-89</t>
  </si>
  <si>
    <t>2F-90</t>
  </si>
  <si>
    <t>2F-91</t>
  </si>
  <si>
    <t>2F-92</t>
  </si>
  <si>
    <t>2F-93</t>
  </si>
  <si>
    <t>2F-94</t>
  </si>
  <si>
    <t>3F-1</t>
    <phoneticPr fontId="4"/>
  </si>
  <si>
    <t>3F-2</t>
    <phoneticPr fontId="4"/>
  </si>
  <si>
    <t>3F-3</t>
  </si>
  <si>
    <t>3F-4</t>
  </si>
  <si>
    <t>3F-5</t>
  </si>
  <si>
    <t>3F-6</t>
  </si>
  <si>
    <t>3F-7</t>
  </si>
  <si>
    <t>3F-8</t>
  </si>
  <si>
    <t>3F-9</t>
  </si>
  <si>
    <t>3F-10</t>
  </si>
  <si>
    <t>3F-11</t>
  </si>
  <si>
    <t>3F-12</t>
  </si>
  <si>
    <t>3F-13</t>
  </si>
  <si>
    <t>3F-14</t>
  </si>
  <si>
    <t>3F-15</t>
  </si>
  <si>
    <t>3F-16</t>
  </si>
  <si>
    <t>3F-17</t>
  </si>
  <si>
    <t>3F-18</t>
  </si>
  <si>
    <t>3F-19</t>
  </si>
  <si>
    <t>3F-20</t>
  </si>
  <si>
    <t>3F-21</t>
  </si>
  <si>
    <t>3F-22</t>
  </si>
  <si>
    <t>3F-23</t>
  </si>
  <si>
    <t>3F-24</t>
  </si>
  <si>
    <t>3F-25</t>
  </si>
  <si>
    <t>3F-26</t>
  </si>
  <si>
    <t>3F-27</t>
  </si>
  <si>
    <t>3F-28</t>
  </si>
  <si>
    <t>3F-29</t>
  </si>
  <si>
    <t>3F-30</t>
  </si>
  <si>
    <t>3F-31</t>
  </si>
  <si>
    <t>3F-32</t>
  </si>
  <si>
    <t>3F-33</t>
  </si>
  <si>
    <t>3F-34</t>
  </si>
  <si>
    <t>3F-35</t>
  </si>
  <si>
    <t>3F-36</t>
  </si>
  <si>
    <t>3F-37</t>
  </si>
  <si>
    <t>3F-38</t>
  </si>
  <si>
    <t>3F-39</t>
  </si>
  <si>
    <t>3F-40</t>
  </si>
  <si>
    <t>3F-41</t>
  </si>
  <si>
    <t>3F-42</t>
  </si>
  <si>
    <t>3F-43</t>
  </si>
  <si>
    <t>3F-44</t>
  </si>
  <si>
    <t>3F-45</t>
  </si>
  <si>
    <t>3F-46</t>
  </si>
  <si>
    <t>3F-47</t>
  </si>
  <si>
    <t>3F-48</t>
  </si>
  <si>
    <t>3F-49</t>
  </si>
  <si>
    <t>3F-50</t>
  </si>
  <si>
    <t>3F-51</t>
  </si>
  <si>
    <t>3F-52</t>
  </si>
  <si>
    <t>3F-53</t>
  </si>
  <si>
    <t>3F-54</t>
  </si>
  <si>
    <t>3F-55</t>
  </si>
  <si>
    <t>3F-56</t>
  </si>
  <si>
    <t>3F-57</t>
  </si>
  <si>
    <t>3F-58</t>
  </si>
  <si>
    <t>3F-59</t>
  </si>
  <si>
    <t>3F-60</t>
  </si>
  <si>
    <t>3F-61</t>
  </si>
  <si>
    <t>3F-62</t>
  </si>
  <si>
    <t>3F-63</t>
  </si>
  <si>
    <t>3F-64</t>
  </si>
  <si>
    <t>3F-65</t>
  </si>
  <si>
    <t>3F-66</t>
  </si>
  <si>
    <t>3F-67</t>
  </si>
  <si>
    <t>3F-68</t>
  </si>
  <si>
    <t>3F-69</t>
  </si>
  <si>
    <t>3F-70</t>
  </si>
  <si>
    <t>3F-71</t>
  </si>
  <si>
    <t>3F-72</t>
  </si>
  <si>
    <t>3F-73</t>
  </si>
  <si>
    <t>3F-74</t>
  </si>
  <si>
    <t>3F-75</t>
  </si>
  <si>
    <t>3F-76</t>
  </si>
  <si>
    <t>3F-77</t>
  </si>
  <si>
    <t>3F-78</t>
  </si>
  <si>
    <t>3F-79</t>
  </si>
  <si>
    <t>3F-80</t>
  </si>
  <si>
    <t>3F-81</t>
  </si>
  <si>
    <t>3F-82</t>
  </si>
  <si>
    <t>3F-83</t>
  </si>
  <si>
    <t>3F-84</t>
  </si>
  <si>
    <t>3F-85</t>
  </si>
  <si>
    <t>3F-86</t>
  </si>
  <si>
    <t>3F-87</t>
  </si>
  <si>
    <t>3F-88</t>
  </si>
  <si>
    <t>3F-89</t>
  </si>
  <si>
    <t>3F-90</t>
  </si>
  <si>
    <t>3F-91</t>
  </si>
  <si>
    <t>3F-92</t>
  </si>
  <si>
    <t>4F-1</t>
    <phoneticPr fontId="4"/>
  </si>
  <si>
    <t>4F-2</t>
    <phoneticPr fontId="4"/>
  </si>
  <si>
    <t>4F-3</t>
  </si>
  <si>
    <t>4F-4</t>
  </si>
  <si>
    <t>4F-5</t>
  </si>
  <si>
    <t>4F-6</t>
  </si>
  <si>
    <t>4F-7</t>
  </si>
  <si>
    <t>4F-8</t>
  </si>
  <si>
    <t>4F-9</t>
  </si>
  <si>
    <t>4F-10</t>
  </si>
  <si>
    <t>4F-11</t>
  </si>
  <si>
    <t>4F-12</t>
  </si>
  <si>
    <t>4F-13</t>
  </si>
  <si>
    <t>4F-14</t>
  </si>
  <si>
    <t>4F-15</t>
  </si>
  <si>
    <t>4F-16</t>
  </si>
  <si>
    <t>4F-17</t>
  </si>
  <si>
    <t>4F-18</t>
  </si>
  <si>
    <t>4F-19</t>
  </si>
  <si>
    <t>4F-20</t>
  </si>
  <si>
    <t>4F-21</t>
  </si>
  <si>
    <t>4F-22</t>
  </si>
  <si>
    <t>4F-23</t>
  </si>
  <si>
    <t>4F-24</t>
  </si>
  <si>
    <t>4F-25</t>
  </si>
  <si>
    <t>4F-26</t>
  </si>
  <si>
    <t>4F-27</t>
  </si>
  <si>
    <t>4F-28</t>
  </si>
  <si>
    <t>4F-29</t>
  </si>
  <si>
    <t>4F-30</t>
  </si>
  <si>
    <t>4F-31</t>
  </si>
  <si>
    <t>4F-32</t>
  </si>
  <si>
    <t>4F-33</t>
  </si>
  <si>
    <t>4F-34</t>
  </si>
  <si>
    <t>4F-35</t>
  </si>
  <si>
    <t>4F-36</t>
  </si>
  <si>
    <t>4F-37</t>
  </si>
  <si>
    <t>4F-38</t>
  </si>
  <si>
    <t>4F-39</t>
  </si>
  <si>
    <t>4F-40</t>
  </si>
  <si>
    <t>4F-41</t>
  </si>
  <si>
    <t>4F-42</t>
  </si>
  <si>
    <t>4F-43</t>
  </si>
  <si>
    <t>4F-44</t>
  </si>
  <si>
    <t>4F-45</t>
  </si>
  <si>
    <t>4F-46</t>
  </si>
  <si>
    <t>4F-47</t>
  </si>
  <si>
    <t>4F-48</t>
  </si>
  <si>
    <t>4F-49</t>
  </si>
  <si>
    <t>4F-50</t>
  </si>
  <si>
    <t>4F-51</t>
  </si>
  <si>
    <t>4F-52</t>
  </si>
  <si>
    <t>4F-53</t>
  </si>
  <si>
    <t>4F-54</t>
  </si>
  <si>
    <t>4F-55</t>
  </si>
  <si>
    <t>4F-56</t>
  </si>
  <si>
    <t>4F-57</t>
  </si>
  <si>
    <t>4F-58</t>
  </si>
  <si>
    <t>4F-59</t>
  </si>
  <si>
    <t>4F-60</t>
  </si>
  <si>
    <t>4F-61</t>
  </si>
  <si>
    <t>4F-62</t>
  </si>
  <si>
    <t>4F-63</t>
  </si>
  <si>
    <t>4F-64</t>
  </si>
  <si>
    <t>4F-65</t>
  </si>
  <si>
    <t>4F-66</t>
  </si>
  <si>
    <t>4F-67</t>
  </si>
  <si>
    <t>4F-68</t>
  </si>
  <si>
    <t>4F-69</t>
  </si>
  <si>
    <t>4F-70</t>
  </si>
  <si>
    <t>4F-71</t>
  </si>
  <si>
    <t>4F-72</t>
  </si>
  <si>
    <t>4F-73</t>
  </si>
  <si>
    <t>4F-74</t>
  </si>
  <si>
    <t>4F-75</t>
  </si>
  <si>
    <t>4F-76</t>
  </si>
  <si>
    <t>4F-77</t>
  </si>
  <si>
    <t>4F-78</t>
  </si>
  <si>
    <t>4F-79</t>
  </si>
  <si>
    <t>4F-80</t>
  </si>
  <si>
    <t>4F-81</t>
  </si>
  <si>
    <t>4F-82</t>
  </si>
  <si>
    <t>5F-1</t>
    <phoneticPr fontId="4"/>
  </si>
  <si>
    <t>5F-16</t>
  </si>
  <si>
    <t>5F-10</t>
  </si>
  <si>
    <t>5F-5</t>
  </si>
  <si>
    <t>5F-3</t>
  </si>
  <si>
    <t>5F-2</t>
    <phoneticPr fontId="4"/>
  </si>
  <si>
    <t>5F-4</t>
  </si>
  <si>
    <t>5F-6</t>
  </si>
  <si>
    <t>5F-7</t>
  </si>
  <si>
    <t>5F-8</t>
  </si>
  <si>
    <t>5F-9</t>
  </si>
  <si>
    <t>5F-11</t>
  </si>
  <si>
    <t>5F-12</t>
  </si>
  <si>
    <t>5F-13</t>
  </si>
  <si>
    <t>5F-14</t>
  </si>
  <si>
    <t>5F-15</t>
  </si>
  <si>
    <t>5F-17</t>
  </si>
  <si>
    <t>5F-18</t>
  </si>
  <si>
    <t>5F-19</t>
  </si>
  <si>
    <t>5F-20</t>
  </si>
  <si>
    <t>5F-21</t>
  </si>
  <si>
    <t>5F-22</t>
  </si>
  <si>
    <t>5F-23</t>
  </si>
  <si>
    <t>5F-24</t>
  </si>
  <si>
    <t>5F-25</t>
  </si>
  <si>
    <t>5F-26</t>
  </si>
  <si>
    <t>5F-27</t>
  </si>
  <si>
    <t>5F-28</t>
  </si>
  <si>
    <t>5F-29</t>
  </si>
  <si>
    <t>5F-30</t>
  </si>
  <si>
    <t>5F-31</t>
  </si>
  <si>
    <t>5F-32</t>
  </si>
  <si>
    <t>5F-33</t>
  </si>
  <si>
    <t>5F-34</t>
  </si>
  <si>
    <t>5F-35</t>
  </si>
  <si>
    <t>5F-36</t>
  </si>
  <si>
    <t>5F-37</t>
  </si>
  <si>
    <t>5F-38</t>
  </si>
  <si>
    <t>5F-39</t>
  </si>
  <si>
    <t>5F-40</t>
  </si>
  <si>
    <t>5F-41</t>
  </si>
  <si>
    <t>5F-42</t>
  </si>
  <si>
    <t>5F-43</t>
  </si>
  <si>
    <t>5F-44</t>
  </si>
  <si>
    <t>5F-45</t>
  </si>
  <si>
    <t>5F-46</t>
  </si>
  <si>
    <t>5F-47</t>
  </si>
  <si>
    <t>5F-48</t>
  </si>
  <si>
    <t>5F-49</t>
  </si>
  <si>
    <t>5F-50</t>
  </si>
  <si>
    <t>5F-51</t>
  </si>
  <si>
    <t>5F-52</t>
  </si>
  <si>
    <t>5F-53</t>
  </si>
  <si>
    <t>5F-54</t>
  </si>
  <si>
    <t>5F-55</t>
  </si>
  <si>
    <t>5F-56</t>
  </si>
  <si>
    <t>5F-57</t>
  </si>
  <si>
    <t>5F-58</t>
  </si>
  <si>
    <t>5F-59</t>
  </si>
  <si>
    <t>5F-60</t>
  </si>
  <si>
    <t>5F-61</t>
  </si>
  <si>
    <t>5F-62</t>
  </si>
  <si>
    <t>5F-63</t>
  </si>
  <si>
    <t>PH-1</t>
    <phoneticPr fontId="4"/>
  </si>
  <si>
    <t>PH-2</t>
    <phoneticPr fontId="4"/>
  </si>
  <si>
    <t>PH-9</t>
  </si>
  <si>
    <t>PH-3</t>
  </si>
  <si>
    <t>PH-4</t>
  </si>
  <si>
    <t>PH-5</t>
  </si>
  <si>
    <t>PH-6</t>
  </si>
  <si>
    <t>PH-7</t>
  </si>
  <si>
    <t>PH-8</t>
  </si>
  <si>
    <t>PH-10</t>
  </si>
  <si>
    <t>PH-11</t>
  </si>
  <si>
    <t>PH-12</t>
  </si>
  <si>
    <t>PH-13</t>
  </si>
  <si>
    <t>BF1</t>
    <phoneticPr fontId="4"/>
  </si>
  <si>
    <t>5F</t>
    <phoneticPr fontId="4"/>
  </si>
  <si>
    <t>機能回復訓練室（ジム）</t>
    <rPh sb="0" eb="7">
      <t>キノウカイフククンレンシツ</t>
    </rPh>
    <phoneticPr fontId="4"/>
  </si>
  <si>
    <t>作業室（陶芸，手芸）</t>
    <rPh sb="0" eb="3">
      <t>サギョウシツ</t>
    </rPh>
    <rPh sb="4" eb="6">
      <t>トウゲイ</t>
    </rPh>
    <rPh sb="7" eb="9">
      <t>シュゲイ</t>
    </rPh>
    <phoneticPr fontId="4"/>
  </si>
  <si>
    <t>日常生活訓練室</t>
    <rPh sb="0" eb="2">
      <t>ニチジョウ</t>
    </rPh>
    <rPh sb="2" eb="4">
      <t>セイカツ</t>
    </rPh>
    <rPh sb="4" eb="7">
      <t>クンレンシツ</t>
    </rPh>
    <phoneticPr fontId="4"/>
  </si>
  <si>
    <t>研修室</t>
    <rPh sb="0" eb="3">
      <t>ケンシュウシツ</t>
    </rPh>
    <phoneticPr fontId="4"/>
  </si>
  <si>
    <t>録音スタジオ</t>
    <rPh sb="0" eb="2">
      <t>ロクオン</t>
    </rPh>
    <phoneticPr fontId="4"/>
  </si>
  <si>
    <t>編集室</t>
    <rPh sb="0" eb="3">
      <t>ヘンシュウシツ</t>
    </rPh>
    <phoneticPr fontId="4"/>
  </si>
  <si>
    <t>ロビー</t>
    <phoneticPr fontId="4"/>
  </si>
  <si>
    <t>障がい福祉センター事務室</t>
    <rPh sb="0" eb="1">
      <t>ショウ</t>
    </rPh>
    <rPh sb="3" eb="5">
      <t>フクシ</t>
    </rPh>
    <rPh sb="9" eb="12">
      <t>ジムシツ</t>
    </rPh>
    <phoneticPr fontId="4"/>
  </si>
  <si>
    <t>相談室</t>
    <rPh sb="0" eb="3">
      <t>ソウダンシツ</t>
    </rPh>
    <phoneticPr fontId="4"/>
  </si>
  <si>
    <t>喫茶</t>
    <rPh sb="0" eb="2">
      <t>キッサ</t>
    </rPh>
    <phoneticPr fontId="4"/>
  </si>
  <si>
    <t>生活健康相談室</t>
    <rPh sb="0" eb="2">
      <t>セイカツ</t>
    </rPh>
    <rPh sb="2" eb="4">
      <t>ケンコウ</t>
    </rPh>
    <rPh sb="4" eb="7">
      <t>ソウダンシツ</t>
    </rPh>
    <phoneticPr fontId="4"/>
  </si>
  <si>
    <t>教養娯楽室（将棋）</t>
    <rPh sb="0" eb="5">
      <t>キョウヨウゴラクシツ</t>
    </rPh>
    <rPh sb="6" eb="8">
      <t>ショウギ</t>
    </rPh>
    <phoneticPr fontId="4"/>
  </si>
  <si>
    <t>技能訓練室（工作）</t>
    <rPh sb="0" eb="2">
      <t>ギノウ</t>
    </rPh>
    <rPh sb="2" eb="5">
      <t>クンレンシツ</t>
    </rPh>
    <rPh sb="6" eb="8">
      <t>コウサク</t>
    </rPh>
    <phoneticPr fontId="4"/>
  </si>
  <si>
    <t>老人福祉センター事務室</t>
    <rPh sb="0" eb="2">
      <t>ロウジン</t>
    </rPh>
    <rPh sb="2" eb="4">
      <t>フクシ</t>
    </rPh>
    <rPh sb="8" eb="11">
      <t>ジムシツ</t>
    </rPh>
    <phoneticPr fontId="4"/>
  </si>
  <si>
    <t>介護浴室</t>
    <rPh sb="0" eb="4">
      <t>カイゴヨクシツ</t>
    </rPh>
    <phoneticPr fontId="4"/>
  </si>
  <si>
    <t>休養室</t>
    <rPh sb="0" eb="3">
      <t>キュウヨウシツ</t>
    </rPh>
    <phoneticPr fontId="4"/>
  </si>
  <si>
    <t>脱衣室</t>
    <rPh sb="0" eb="3">
      <t>ダツイシツ</t>
    </rPh>
    <phoneticPr fontId="4"/>
  </si>
  <si>
    <t>シルバー人材センター</t>
    <rPh sb="4" eb="6">
      <t>ジンザイ</t>
    </rPh>
    <phoneticPr fontId="4"/>
  </si>
  <si>
    <t>教養娯楽室（和室）</t>
    <rPh sb="0" eb="5">
      <t>キョウヨウゴラクシツ</t>
    </rPh>
    <rPh sb="6" eb="8">
      <t>ワシツ</t>
    </rPh>
    <phoneticPr fontId="4"/>
  </si>
  <si>
    <t>保育室</t>
    <rPh sb="0" eb="3">
      <t>ホイクシツ</t>
    </rPh>
    <phoneticPr fontId="4"/>
  </si>
  <si>
    <t>技能習得室（調理場）</t>
    <rPh sb="0" eb="5">
      <t>ギノウシュウトクシツ</t>
    </rPh>
    <rPh sb="6" eb="9">
      <t>チョウリバ</t>
    </rPh>
    <phoneticPr fontId="4"/>
  </si>
  <si>
    <t>福祉情報センター</t>
    <rPh sb="0" eb="2">
      <t>フクシ</t>
    </rPh>
    <rPh sb="2" eb="4">
      <t>ジョウホウ</t>
    </rPh>
    <phoneticPr fontId="4"/>
  </si>
  <si>
    <t>ミーティングルーム</t>
    <phoneticPr fontId="4"/>
  </si>
  <si>
    <t>総合福祉センタ―管理課</t>
    <rPh sb="0" eb="2">
      <t>ソウゴウ</t>
    </rPh>
    <rPh sb="2" eb="4">
      <t>フクシ</t>
    </rPh>
    <rPh sb="7" eb="11">
      <t>ーカンリカ</t>
    </rPh>
    <phoneticPr fontId="4"/>
  </si>
  <si>
    <t>母子父子福祉センター事務室</t>
    <rPh sb="0" eb="2">
      <t>ボシ</t>
    </rPh>
    <rPh sb="2" eb="4">
      <t>フシ</t>
    </rPh>
    <rPh sb="4" eb="6">
      <t>フクシ</t>
    </rPh>
    <rPh sb="10" eb="13">
      <t>ジムシツ</t>
    </rPh>
    <phoneticPr fontId="4"/>
  </si>
  <si>
    <t>福祉団体事務室</t>
    <rPh sb="0" eb="4">
      <t>フクシダンタイ</t>
    </rPh>
    <rPh sb="4" eb="7">
      <t>ジムシツ</t>
    </rPh>
    <phoneticPr fontId="4"/>
  </si>
  <si>
    <t>ファミリーサポートセンター</t>
    <phoneticPr fontId="4"/>
  </si>
  <si>
    <t>福祉総合相談</t>
    <rPh sb="0" eb="2">
      <t>フクシ</t>
    </rPh>
    <rPh sb="2" eb="4">
      <t>ソウゴウ</t>
    </rPh>
    <rPh sb="4" eb="6">
      <t>ソウダン</t>
    </rPh>
    <phoneticPr fontId="4"/>
  </si>
  <si>
    <t>集会室（卓球）</t>
    <rPh sb="0" eb="3">
      <t>シュウカイシツ</t>
    </rPh>
    <rPh sb="4" eb="6">
      <t>タッキュウ</t>
    </rPh>
    <phoneticPr fontId="4"/>
  </si>
  <si>
    <t>コンピュータプレイルーム</t>
    <phoneticPr fontId="4"/>
  </si>
  <si>
    <t>児童センター事務室</t>
    <rPh sb="0" eb="2">
      <t>ジドウ</t>
    </rPh>
    <rPh sb="6" eb="9">
      <t>ジムシツ</t>
    </rPh>
    <phoneticPr fontId="4"/>
  </si>
  <si>
    <t>設備機械室</t>
    <rPh sb="0" eb="5">
      <t>セツビキカイシツ</t>
    </rPh>
    <phoneticPr fontId="4"/>
  </si>
  <si>
    <t>10：00～20：00</t>
    <phoneticPr fontId="4"/>
  </si>
  <si>
    <t>9：00～21：00</t>
    <phoneticPr fontId="4"/>
  </si>
  <si>
    <t>8：30～21：00</t>
    <phoneticPr fontId="4"/>
  </si>
  <si>
    <t>10：00～14：00</t>
    <phoneticPr fontId="4"/>
  </si>
  <si>
    <t>9：00～17：00</t>
    <phoneticPr fontId="4"/>
  </si>
  <si>
    <t>8：30～17：30</t>
    <phoneticPr fontId="4"/>
  </si>
  <si>
    <t>8：30～21：30</t>
    <phoneticPr fontId="4"/>
  </si>
  <si>
    <t>9：00～1７：00(夏期は～18時）</t>
    <rPh sb="11" eb="13">
      <t>カキ</t>
    </rPh>
    <rPh sb="17" eb="18">
      <t>ジ</t>
    </rPh>
    <phoneticPr fontId="4"/>
  </si>
  <si>
    <t>10：00～12：00</t>
    <phoneticPr fontId="4"/>
  </si>
  <si>
    <t>8：30～1７：00(夏期は～18時）</t>
    <rPh sb="11" eb="13">
      <t>カキ</t>
    </rPh>
    <rPh sb="17" eb="18">
      <t>ジ</t>
    </rPh>
    <phoneticPr fontId="4"/>
  </si>
  <si>
    <t>8：00～21：30
（休館日は8：00～17：30）</t>
    <rPh sb="12" eb="15">
      <t>キュウカンビ</t>
    </rPh>
    <phoneticPr fontId="4"/>
  </si>
  <si>
    <t>※夏期は４月から９月で稼働日は１５７日</t>
    <rPh sb="1" eb="3">
      <t>カキ</t>
    </rPh>
    <rPh sb="5" eb="6">
      <t>ガツ</t>
    </rPh>
    <rPh sb="9" eb="10">
      <t>ガツ</t>
    </rPh>
    <rPh sb="11" eb="14">
      <t>カドウビ</t>
    </rPh>
    <rPh sb="18" eb="19">
      <t>ニチ</t>
    </rPh>
    <phoneticPr fontId="4"/>
  </si>
  <si>
    <t>17：30～21：30</t>
    <phoneticPr fontId="4"/>
  </si>
  <si>
    <t>08：30～21：00</t>
    <phoneticPr fontId="4"/>
  </si>
  <si>
    <t>受水槽室</t>
    <rPh sb="0" eb="2">
      <t>ジュスイ</t>
    </rPh>
    <rPh sb="2" eb="3">
      <t>ソウ</t>
    </rPh>
    <rPh sb="3" eb="4">
      <t>シツ</t>
    </rPh>
    <phoneticPr fontId="4"/>
  </si>
  <si>
    <t>電気室</t>
    <rPh sb="0" eb="2">
      <t>デンキ</t>
    </rPh>
    <rPh sb="2" eb="3">
      <t>シツ</t>
    </rPh>
    <phoneticPr fontId="4"/>
  </si>
  <si>
    <t>便所（プール）</t>
    <rPh sb="0" eb="2">
      <t>ベンジョ</t>
    </rPh>
    <phoneticPr fontId="4"/>
  </si>
  <si>
    <t>08：00～21：30</t>
    <phoneticPr fontId="4"/>
  </si>
  <si>
    <t>PS,EPS</t>
    <phoneticPr fontId="4"/>
  </si>
  <si>
    <t>便所</t>
    <rPh sb="0" eb="2">
      <t>ベンジョ</t>
    </rPh>
    <phoneticPr fontId="4"/>
  </si>
  <si>
    <t>多目的便所</t>
    <rPh sb="0" eb="3">
      <t>タモクテキ</t>
    </rPh>
    <rPh sb="3" eb="5">
      <t>ベンジョ</t>
    </rPh>
    <phoneticPr fontId="4"/>
  </si>
  <si>
    <t>機械室</t>
    <rPh sb="0" eb="3">
      <t>キカイシツシツ</t>
    </rPh>
    <phoneticPr fontId="4"/>
  </si>
  <si>
    <t>第１会議室（２F）</t>
    <rPh sb="0" eb="1">
      <t>ダイ</t>
    </rPh>
    <rPh sb="2" eb="5">
      <t>カイギシツ</t>
    </rPh>
    <phoneticPr fontId="4"/>
  </si>
  <si>
    <t>第２会議室（２F）</t>
    <rPh sb="0" eb="1">
      <t>ダイ</t>
    </rPh>
    <rPh sb="2" eb="5">
      <t>カイギシツ</t>
    </rPh>
    <phoneticPr fontId="4"/>
  </si>
  <si>
    <t>集会室（１F)</t>
    <rPh sb="0" eb="3">
      <t>シュウカイシツ</t>
    </rPh>
    <phoneticPr fontId="4"/>
  </si>
  <si>
    <t>集会室（２F和室）</t>
    <rPh sb="0" eb="3">
      <t>シュウカイシツ</t>
    </rPh>
    <phoneticPr fontId="4"/>
  </si>
  <si>
    <t>介護相談センター事務所</t>
    <rPh sb="0" eb="2">
      <t>カイゴ</t>
    </rPh>
    <rPh sb="2" eb="4">
      <t>ソウダン</t>
    </rPh>
    <rPh sb="8" eb="11">
      <t>ジムショ</t>
    </rPh>
    <phoneticPr fontId="4"/>
  </si>
  <si>
    <t>第１会議室（３F)</t>
    <rPh sb="0" eb="1">
      <t>ダイ</t>
    </rPh>
    <rPh sb="2" eb="5">
      <t>カイギシツ</t>
    </rPh>
    <phoneticPr fontId="4"/>
  </si>
  <si>
    <t>第２会議室（３F)</t>
    <rPh sb="0" eb="1">
      <t>ダイ</t>
    </rPh>
    <rPh sb="2" eb="5">
      <t>カイギシツ</t>
    </rPh>
    <phoneticPr fontId="4"/>
  </si>
  <si>
    <t>会議室（４F）</t>
    <rPh sb="0" eb="3">
      <t>カイギシツ</t>
    </rPh>
    <phoneticPr fontId="4"/>
  </si>
  <si>
    <t>会議室（１F)</t>
    <rPh sb="0" eb="3">
      <t>カイギシツ</t>
    </rPh>
    <phoneticPr fontId="4"/>
  </si>
  <si>
    <t>コンピュータプレイルーム</t>
  </si>
  <si>
    <t>更衣室（５F)</t>
    <rPh sb="0" eb="3">
      <t>コウイシツ</t>
    </rPh>
    <phoneticPr fontId="4"/>
  </si>
  <si>
    <t>更衣室（３F)</t>
    <rPh sb="0" eb="3">
      <t>コウイシツ</t>
    </rPh>
    <phoneticPr fontId="4"/>
  </si>
  <si>
    <t>08：30～21：30</t>
    <phoneticPr fontId="4"/>
  </si>
  <si>
    <t>ミーティングルーム</t>
  </si>
  <si>
    <t>ファミリーサポートセンター</t>
  </si>
  <si>
    <t>休憩室</t>
    <rPh sb="0" eb="3">
      <t>キュウケイシツ</t>
    </rPh>
    <phoneticPr fontId="4"/>
  </si>
  <si>
    <t>誘導灯
（更新対象外）</t>
    <rPh sb="0" eb="3">
      <t>ユウドウトウ</t>
    </rPh>
    <rPh sb="5" eb="9">
      <t>コウシンタイショウ</t>
    </rPh>
    <rPh sb="9" eb="10">
      <t>ガイ</t>
    </rPh>
    <phoneticPr fontId="4"/>
  </si>
  <si>
    <t>非常照明
（更新対外）</t>
    <rPh sb="0" eb="2">
      <t>ヒジョウ</t>
    </rPh>
    <rPh sb="2" eb="4">
      <t>ショウメイ</t>
    </rPh>
    <rPh sb="6" eb="8">
      <t>コウシン</t>
    </rPh>
    <rPh sb="8" eb="10">
      <t>タイガイ</t>
    </rPh>
    <phoneticPr fontId="4"/>
  </si>
  <si>
    <t>更新対象
合計</t>
    <rPh sb="0" eb="4">
      <t>コウシンタイショウ</t>
    </rPh>
    <rPh sb="5" eb="7">
      <t>ゴウケイ</t>
    </rPh>
    <phoneticPr fontId="4"/>
  </si>
  <si>
    <t>更新対象外
合計</t>
    <rPh sb="0" eb="4">
      <t>コウシンタイショウ</t>
    </rPh>
    <rPh sb="4" eb="5">
      <t>ガイ</t>
    </rPh>
    <rPh sb="6" eb="8">
      <t>ゴウケイ</t>
    </rPh>
    <phoneticPr fontId="4"/>
  </si>
  <si>
    <t>器具合計</t>
    <rPh sb="0" eb="2">
      <t>キグ</t>
    </rPh>
    <rPh sb="2" eb="4">
      <t>ゴウケイ</t>
    </rPh>
    <phoneticPr fontId="4"/>
  </si>
  <si>
    <t>年間消費電力
（kWh）</t>
    <rPh sb="0" eb="6">
      <t>ネンカンショウヒデンリョク</t>
    </rPh>
    <phoneticPr fontId="4"/>
  </si>
  <si>
    <t>多目的ホール</t>
    <rPh sb="0" eb="3">
      <t>タモクテキ</t>
    </rPh>
    <phoneticPr fontId="4"/>
  </si>
  <si>
    <t>09：00～21：00</t>
    <phoneticPr fontId="4"/>
  </si>
  <si>
    <t>総合福祉センター既設照明器具リスト</t>
    <rPh sb="0" eb="2">
      <t>ソウゴウ</t>
    </rPh>
    <rPh sb="2" eb="4">
      <t>フクシ</t>
    </rPh>
    <rPh sb="8" eb="12">
      <t>キセツショウメイ</t>
    </rPh>
    <rPh sb="12" eb="14">
      <t>キグ</t>
    </rPh>
    <phoneticPr fontId="4"/>
  </si>
  <si>
    <t>kWh</t>
    <phoneticPr fontId="4"/>
  </si>
  <si>
    <t>使用電力量（kWh）</t>
    <rPh sb="0" eb="5">
      <t>シヨウデンリョクリョウ</t>
    </rPh>
    <phoneticPr fontId="4"/>
  </si>
  <si>
    <t>表に記載の数量は企画提案書作成時の参考とし，最終的な数量は受託候補者決定後の現地調査，詳細協議および仕様作成を経て確定することとする。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</si>
</sst>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×&quot;#,##0"/>
    <numFmt numFmtId="177" formatCode="#,##0.0;[Red]#,##0.0"/>
    <numFmt numFmtId="178" formatCode="0.0"/>
    <numFmt numFmtId="179" formatCode="#,##0;[Red]#,##0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Yu Gothic"/>
      <family val="2"/>
      <scheme val="minor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/>
    <xf numFmtId="0" fontId="0" fillId="0" borderId="1" xfId="0" applyBorder="1"/>
    <xf numFmtId="38" fontId="6" fillId="0" borderId="1" xfId="1" applyFont="1" applyFill="1" applyBorder="1" applyAlignment="1">
      <alignment vertical="center" shrinkToFit="1"/>
    </xf>
    <xf numFmtId="0" fontId="10" fillId="0" borderId="3" xfId="0" applyFont="1" applyBorder="1"/>
    <xf numFmtId="38" fontId="10" fillId="0" borderId="3" xfId="0" applyNumberFormat="1" applyFont="1" applyBorder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38" fontId="11" fillId="0" borderId="1" xfId="1" applyFont="1" applyBorder="1" applyAlignment="1"/>
    <xf numFmtId="0" fontId="11" fillId="0" borderId="1" xfId="1" applyNumberFormat="1" applyFont="1" applyBorder="1" applyAlignment="1"/>
    <xf numFmtId="0" fontId="12" fillId="0" borderId="0" xfId="0" applyFont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38" fontId="11" fillId="0" borderId="1" xfId="0" applyNumberFormat="1" applyFont="1" applyBorder="1" applyAlignment="1">
      <alignment horizontal="right"/>
    </xf>
    <xf numFmtId="38" fontId="11" fillId="0" borderId="4" xfId="0" applyNumberFormat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38" fontId="11" fillId="0" borderId="1" xfId="1" applyFont="1" applyBorder="1" applyAlignment="1">
      <alignment horizontal="right"/>
    </xf>
    <xf numFmtId="40" fontId="11" fillId="0" borderId="1" xfId="0" applyNumberFormat="1" applyFont="1" applyBorder="1" applyAlignment="1">
      <alignment horizontal="right"/>
    </xf>
    <xf numFmtId="40" fontId="11" fillId="0" borderId="4" xfId="0" applyNumberFormat="1" applyFont="1" applyBorder="1" applyAlignment="1">
      <alignment horizontal="right"/>
    </xf>
    <xf numFmtId="40" fontId="11" fillId="0" borderId="1" xfId="1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/>
    <xf numFmtId="0" fontId="10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38" fontId="11" fillId="0" borderId="1" xfId="0" applyNumberFormat="1" applyFont="1" applyBorder="1"/>
    <xf numFmtId="38" fontId="11" fillId="0" borderId="5" xfId="0" applyNumberFormat="1" applyFont="1" applyBorder="1"/>
    <xf numFmtId="0" fontId="11" fillId="0" borderId="7" xfId="0" applyFont="1" applyBorder="1" applyAlignment="1">
      <alignment horizontal="center" wrapText="1"/>
    </xf>
    <xf numFmtId="38" fontId="11" fillId="0" borderId="9" xfId="0" applyNumberFormat="1" applyFont="1" applyBorder="1"/>
    <xf numFmtId="38" fontId="11" fillId="0" borderId="1" xfId="1" applyFont="1" applyFill="1" applyBorder="1" applyAlignment="1" applyProtection="1">
      <alignment horizontal="right" vertical="center" shrinkToFit="1"/>
    </xf>
    <xf numFmtId="38" fontId="11" fillId="0" borderId="1" xfId="1" applyFont="1" applyFill="1" applyBorder="1" applyAlignment="1">
      <alignment vertical="center" shrinkToFit="1"/>
    </xf>
    <xf numFmtId="176" fontId="11" fillId="0" borderId="1" xfId="1" applyNumberFormat="1" applyFont="1" applyFill="1" applyBorder="1" applyAlignment="1">
      <alignment vertical="center" shrinkToFit="1"/>
    </xf>
    <xf numFmtId="40" fontId="9" fillId="0" borderId="0" xfId="1" applyNumberFormat="1" applyFont="1" applyAlignment="1"/>
    <xf numFmtId="40" fontId="0" fillId="0" borderId="0" xfId="1" applyNumberFormat="1" applyFont="1" applyAlignment="1"/>
    <xf numFmtId="38" fontId="0" fillId="0" borderId="1" xfId="1" applyFont="1" applyBorder="1" applyAlignment="1"/>
    <xf numFmtId="38" fontId="0" fillId="0" borderId="0" xfId="1" applyFont="1" applyAlignment="1"/>
    <xf numFmtId="40" fontId="0" fillId="0" borderId="1" xfId="1" applyNumberFormat="1" applyFont="1" applyBorder="1" applyAlignment="1"/>
    <xf numFmtId="177" fontId="6" fillId="0" borderId="1" xfId="1" applyNumberFormat="1" applyFont="1" applyFill="1" applyBorder="1" applyAlignment="1">
      <alignment shrinkToFit="1"/>
    </xf>
    <xf numFmtId="177" fontId="6" fillId="0" borderId="1" xfId="1" applyNumberFormat="1" applyFont="1" applyFill="1" applyBorder="1" applyAlignment="1">
      <alignment vertical="center" shrinkToFit="1"/>
    </xf>
    <xf numFmtId="0" fontId="11" fillId="0" borderId="2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178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 shrinkToFit="1"/>
    </xf>
    <xf numFmtId="0" fontId="14" fillId="0" borderId="12" xfId="0" applyFont="1" applyBorder="1" applyAlignment="1">
      <alignment horizontal="center" vertical="center" wrapText="1" shrinkToFit="1"/>
    </xf>
    <xf numFmtId="178" fontId="14" fillId="0" borderId="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178" fontId="14" fillId="0" borderId="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178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/>
    <xf numFmtId="2" fontId="14" fillId="0" borderId="12" xfId="0" applyNumberFormat="1" applyFont="1" applyBorder="1" applyAlignment="1">
      <alignment vertical="center" wrapText="1"/>
    </xf>
    <xf numFmtId="0" fontId="11" fillId="0" borderId="12" xfId="0" applyFont="1" applyBorder="1" applyAlignment="1">
      <alignment horizontal="center" wrapText="1"/>
    </xf>
    <xf numFmtId="38" fontId="11" fillId="0" borderId="13" xfId="0" applyNumberFormat="1" applyFont="1" applyBorder="1"/>
    <xf numFmtId="0" fontId="11" fillId="0" borderId="10" xfId="0" applyFont="1" applyBorder="1" applyAlignment="1">
      <alignment horizontal="center" wrapText="1"/>
    </xf>
    <xf numFmtId="38" fontId="11" fillId="0" borderId="11" xfId="0" applyNumberFormat="1" applyFont="1" applyBorder="1"/>
    <xf numFmtId="38" fontId="11" fillId="0" borderId="10" xfId="0" applyNumberFormat="1" applyFont="1" applyBorder="1"/>
    <xf numFmtId="38" fontId="11" fillId="0" borderId="14" xfId="0" applyNumberFormat="1" applyFont="1" applyBorder="1"/>
    <xf numFmtId="38" fontId="11" fillId="0" borderId="7" xfId="0" applyNumberFormat="1" applyFont="1" applyBorder="1"/>
    <xf numFmtId="38" fontId="11" fillId="0" borderId="6" xfId="0" applyNumberFormat="1" applyFont="1" applyBorder="1"/>
    <xf numFmtId="38" fontId="11" fillId="0" borderId="8" xfId="0" applyNumberFormat="1" applyFont="1" applyBorder="1"/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/>
    <xf numFmtId="0" fontId="11" fillId="0" borderId="1" xfId="7" applyFont="1" applyBorder="1" applyAlignment="1">
      <alignment horizontal="left" vertical="center" shrinkToFit="1"/>
    </xf>
    <xf numFmtId="0" fontId="11" fillId="0" borderId="1" xfId="4" applyFont="1" applyBorder="1" applyAlignment="1">
      <alignment horizontal="left" vertical="center" shrinkToFit="1"/>
    </xf>
    <xf numFmtId="0" fontId="14" fillId="0" borderId="10" xfId="0" applyFont="1" applyBorder="1"/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11" fillId="0" borderId="1" xfId="8" applyNumberFormat="1" applyFont="1" applyBorder="1" applyAlignment="1">
      <alignment vertical="center" shrinkToFit="1"/>
    </xf>
    <xf numFmtId="0" fontId="11" fillId="0" borderId="1" xfId="0" applyFont="1" applyBorder="1" applyAlignment="1">
      <alignment horizontal="left" vertical="center" shrinkToFit="1"/>
    </xf>
    <xf numFmtId="0" fontId="16" fillId="0" borderId="1" xfId="1" applyNumberFormat="1" applyFont="1" applyBorder="1" applyAlignment="1"/>
    <xf numFmtId="38" fontId="14" fillId="0" borderId="1" xfId="1" applyNumberFormat="1" applyFont="1" applyBorder="1" applyAlignment="1"/>
    <xf numFmtId="179" fontId="0" fillId="0" borderId="0" xfId="0" applyNumberFormat="1"/>
    <xf numFmtId="179" fontId="11" fillId="0" borderId="1" xfId="0" applyNumberFormat="1" applyFont="1" applyBorder="1" applyAlignment="1">
      <alignment horizontal="center" wrapText="1"/>
    </xf>
    <xf numFmtId="179" fontId="11" fillId="0" borderId="1" xfId="0" applyNumberFormat="1" applyFont="1" applyBorder="1"/>
    <xf numFmtId="179" fontId="11" fillId="0" borderId="1" xfId="0" applyNumberFormat="1" applyFont="1" applyFill="1" applyBorder="1"/>
    <xf numFmtId="0" fontId="11" fillId="0" borderId="15" xfId="0" applyFont="1" applyFill="1" applyBorder="1" applyAlignment="1">
      <alignment horizontal="left" vertical="top" wrapText="1"/>
    </xf>
    <xf numFmtId="38" fontId="0" fillId="0" borderId="15" xfId="0" applyNumberFormat="1" applyBorder="1" applyAlignment="1">
      <alignment horizontal="center"/>
    </xf>
  </cellXfs>
  <cellStyles count="9">
    <cellStyle name="桁区切り" xfId="1" builtinId="6"/>
    <cellStyle name="標準" xfId="0" builtinId="0"/>
    <cellStyle name="標準 3 2" xfId="3" xr:uid="{D90C779C-2FE6-418F-8383-4ECB74D512E3}"/>
    <cellStyle name="標準 3 2 2" xfId="5" xr:uid="{1ED0A513-D28E-4F2C-B61C-1D413E43D705}"/>
    <cellStyle name="標準 3 2 3" xfId="7" xr:uid="{1C92BCAA-B601-4F2F-8BDE-97AF58307901}"/>
    <cellStyle name="標準 3 3 2" xfId="2" xr:uid="{4656688B-7941-448F-BB76-8FF1CD7F93AB}"/>
    <cellStyle name="標準 3 3 2 2" xfId="6" xr:uid="{77C417E7-68D9-4800-BB54-BE4F96194099}"/>
    <cellStyle name="標準 3 3 2 3" xfId="8" xr:uid="{E534A69E-3248-4114-B670-6E970BCF5229}"/>
    <cellStyle name="標準_経済比較" xfId="4" xr:uid="{62984CD7-F883-4E2F-9E56-70072B36A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32151-E97B-4EDB-967B-81A7E9A069A3}">
  <sheetPr>
    <tabColor rgb="FF00B050"/>
  </sheetPr>
  <dimension ref="A3:C10"/>
  <sheetViews>
    <sheetView workbookViewId="0">
      <selection activeCell="A6" sqref="A6"/>
    </sheetView>
  </sheetViews>
  <sheetFormatPr defaultRowHeight="17.649999999999999"/>
  <cols>
    <col min="1" max="1" width="25.5625" customWidth="1"/>
    <col min="2" max="2" width="27.5625" customWidth="1"/>
    <col min="3" max="3" width="25.5625" customWidth="1"/>
  </cols>
  <sheetData>
    <row r="3" spans="1:3" ht="25.05" customHeight="1" thickBot="1">
      <c r="A3" s="3" t="s">
        <v>454</v>
      </c>
      <c r="B3" s="4">
        <f>B6</f>
        <v>669713</v>
      </c>
      <c r="C3" s="3" t="s">
        <v>1126</v>
      </c>
    </row>
    <row r="4" spans="1:3" ht="25.05" customHeight="1">
      <c r="A4" s="5"/>
      <c r="B4" s="5"/>
    </row>
    <row r="5" spans="1:3" ht="25.05" customHeight="1">
      <c r="A5" s="6"/>
      <c r="B5" s="6" t="s">
        <v>455</v>
      </c>
      <c r="C5" s="6" t="s">
        <v>6</v>
      </c>
    </row>
    <row r="6" spans="1:3" ht="25.05" customHeight="1">
      <c r="A6" s="7" t="s">
        <v>1127</v>
      </c>
      <c r="B6" s="8">
        <f>ROUND((直近36ヶ月使用電力量!N4+直近36ヶ月使用電力量!N11+直近36ヶ月使用電力量!N18)/3,0)</f>
        <v>669713</v>
      </c>
      <c r="C6" s="7" t="s">
        <v>456</v>
      </c>
    </row>
    <row r="7" spans="1:3" ht="25.05" customHeight="1">
      <c r="A7" s="7" t="s">
        <v>457</v>
      </c>
      <c r="B7" s="9">
        <f>ROUND((直近36ヶ月使用電力量!O5+直近36ヶ月使用電力量!O12+直近36ヶ月使用電力量!O19)/3,2)</f>
        <v>22.22</v>
      </c>
      <c r="C7" s="7"/>
    </row>
    <row r="8" spans="1:3" ht="25.05" customHeight="1">
      <c r="A8" s="7" t="s">
        <v>458</v>
      </c>
      <c r="B8" s="78">
        <f>ROUND((直近36ヶ月使用電力量!O6+直近36ヶ月使用電力量!O13+直近36ヶ月使用電力量!O20)/3,2)</f>
        <v>-2.2200000000000002</v>
      </c>
      <c r="C8" s="7"/>
    </row>
    <row r="9" spans="1:3" ht="25.05" customHeight="1">
      <c r="A9" s="7" t="s">
        <v>459</v>
      </c>
      <c r="B9" s="9">
        <f>ROUND((直近36ヶ月使用電力量!O7+直近36ヶ月使用電力量!O14+直近36ヶ月使用電力量!O21)/3,2)</f>
        <v>2.78</v>
      </c>
      <c r="C9" s="7"/>
    </row>
    <row r="10" spans="1:3" ht="25.05" customHeight="1">
      <c r="A10" s="7" t="s">
        <v>460</v>
      </c>
      <c r="B10" s="9">
        <f>ROUND((直近36ヶ月使用電力量!O8+直近36ヶ月使用電力量!O15+直近36ヶ月使用電力量!O22)/3,2)</f>
        <v>22.77</v>
      </c>
      <c r="C10" s="7"/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4B38A-86EE-4124-B24A-096341CDD667}">
  <sheetPr>
    <tabColor rgb="FF00B050"/>
  </sheetPr>
  <dimension ref="A1:O22"/>
  <sheetViews>
    <sheetView workbookViewId="0">
      <selection activeCell="D13" sqref="D13"/>
    </sheetView>
  </sheetViews>
  <sheetFormatPr defaultRowHeight="17.649999999999999"/>
  <cols>
    <col min="1" max="1" width="25.5625" customWidth="1"/>
    <col min="2" max="15" width="10.5625" customWidth="1"/>
  </cols>
  <sheetData>
    <row r="1" spans="1:15" ht="21.4">
      <c r="A1" s="10" t="s">
        <v>543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5.05" customHeight="1">
      <c r="A3" s="6"/>
      <c r="B3" s="6" t="s">
        <v>461</v>
      </c>
      <c r="C3" s="6" t="s">
        <v>462</v>
      </c>
      <c r="D3" s="6" t="s">
        <v>463</v>
      </c>
      <c r="E3" s="6" t="s">
        <v>464</v>
      </c>
      <c r="F3" s="6" t="s">
        <v>465</v>
      </c>
      <c r="G3" s="6" t="s">
        <v>466</v>
      </c>
      <c r="H3" s="6" t="s">
        <v>467</v>
      </c>
      <c r="I3" s="6" t="s">
        <v>468</v>
      </c>
      <c r="J3" s="6" t="s">
        <v>469</v>
      </c>
      <c r="K3" s="6" t="s">
        <v>470</v>
      </c>
      <c r="L3" s="6" t="s">
        <v>471</v>
      </c>
      <c r="M3" s="11" t="s">
        <v>472</v>
      </c>
      <c r="N3" s="12" t="s">
        <v>473</v>
      </c>
      <c r="O3" s="6" t="s">
        <v>474</v>
      </c>
    </row>
    <row r="4" spans="1:15" ht="25.05" customHeight="1">
      <c r="A4" s="7" t="s">
        <v>475</v>
      </c>
      <c r="B4" s="13">
        <f>総合福祉センター!L10</f>
        <v>56315</v>
      </c>
      <c r="C4" s="13">
        <f>総合福祉センター!M10</f>
        <v>59960</v>
      </c>
      <c r="D4" s="13">
        <f>総合福祉センター!B3</f>
        <v>53431</v>
      </c>
      <c r="E4" s="13">
        <f>総合福祉センター!C3</f>
        <v>48497</v>
      </c>
      <c r="F4" s="13">
        <f>総合福祉センター!D3</f>
        <v>50331</v>
      </c>
      <c r="G4" s="13">
        <f>総合福祉センター!E3</f>
        <v>64930</v>
      </c>
      <c r="H4" s="13">
        <f>総合福祉センター!F3</f>
        <v>68057</v>
      </c>
      <c r="I4" s="13">
        <f>総合福祉センター!G3</f>
        <v>57252</v>
      </c>
      <c r="J4" s="13">
        <f>総合福祉センター!H3</f>
        <v>48608</v>
      </c>
      <c r="K4" s="13">
        <f>総合福祉センター!I3</f>
        <v>54966</v>
      </c>
      <c r="L4" s="13">
        <f>総合福祉センター!J3</f>
        <v>59128</v>
      </c>
      <c r="M4" s="14">
        <f>総合福祉センター!K3</f>
        <v>59832</v>
      </c>
      <c r="N4" s="15">
        <f>SUM(B4:M4)</f>
        <v>681307</v>
      </c>
      <c r="O4" s="16">
        <f>ROUND(AVERAGE(B4:M4),0)</f>
        <v>56776</v>
      </c>
    </row>
    <row r="5" spans="1:15" ht="25.05" customHeight="1">
      <c r="A5" s="7" t="s">
        <v>476</v>
      </c>
      <c r="B5" s="17">
        <f>総合福祉センター!L11</f>
        <v>30.716418183432481</v>
      </c>
      <c r="C5" s="17">
        <f>総合福祉センター!M11</f>
        <v>30.706682788525683</v>
      </c>
      <c r="D5" s="17">
        <f>総合福祉センター!B4</f>
        <v>20.79032134902959</v>
      </c>
      <c r="E5" s="17">
        <f>総合福祉センター!C4</f>
        <v>20.722034352640371</v>
      </c>
      <c r="F5" s="17">
        <f>総合福祉センター!D4</f>
        <v>20.775479724225626</v>
      </c>
      <c r="G5" s="17">
        <f>総合福祉センター!E4</f>
        <v>20.812713229631914</v>
      </c>
      <c r="H5" s="17">
        <f>総合福祉センター!F4</f>
        <v>20.792204622595765</v>
      </c>
      <c r="I5" s="17">
        <f>総合福祉センター!G4</f>
        <v>20.765008733319359</v>
      </c>
      <c r="J5" s="17">
        <f>総合福祉センター!H4</f>
        <v>20.822959595128374</v>
      </c>
      <c r="K5" s="17">
        <f>総合福祉センター!I4</f>
        <v>20.779814794600298</v>
      </c>
      <c r="L5" s="17">
        <f>総合福祉センター!J4</f>
        <v>20.80052022730348</v>
      </c>
      <c r="M5" s="18">
        <f>総合福祉センター!K4</f>
        <v>20.763221854526009</v>
      </c>
      <c r="N5" s="15"/>
      <c r="O5" s="19">
        <f>ROUND(AVERAGE(B5:M5),2)</f>
        <v>22.44</v>
      </c>
    </row>
    <row r="6" spans="1:15" ht="25.05" customHeight="1">
      <c r="A6" s="7" t="s">
        <v>477</v>
      </c>
      <c r="B6" s="17">
        <f>総合福祉センター!L12</f>
        <v>-11.63</v>
      </c>
      <c r="C6" s="17">
        <f>総合福祉センター!M12</f>
        <v>-11.77</v>
      </c>
      <c r="D6" s="17">
        <f>総合福祉センター!B5</f>
        <v>-2.37</v>
      </c>
      <c r="E6" s="17">
        <f>総合福祉センター!C5</f>
        <v>-2.71</v>
      </c>
      <c r="F6" s="17">
        <f>総合福祉センター!D5</f>
        <v>-2.0699999999999998</v>
      </c>
      <c r="G6" s="17">
        <f>総合福祉センター!E5</f>
        <v>-1.28</v>
      </c>
      <c r="H6" s="17">
        <f>総合福祉センター!F5</f>
        <v>-1.24</v>
      </c>
      <c r="I6" s="17">
        <f>総合福祉センター!G5</f>
        <v>-3.16</v>
      </c>
      <c r="J6" s="17">
        <f>総合福祉センター!H5</f>
        <v>-2.76</v>
      </c>
      <c r="K6" s="17">
        <f>総合福祉センター!I5</f>
        <v>-1.91</v>
      </c>
      <c r="L6" s="17">
        <f>総合福祉センター!J5</f>
        <v>-0.77</v>
      </c>
      <c r="M6" s="18">
        <f>総合福祉センター!K5</f>
        <v>-1.06</v>
      </c>
      <c r="N6" s="15"/>
      <c r="O6" s="19">
        <f>ROUND(AVERAGE(B6:M6),2)</f>
        <v>-3.56</v>
      </c>
    </row>
    <row r="7" spans="1:15" ht="25.05" customHeight="1">
      <c r="A7" s="7" t="s">
        <v>459</v>
      </c>
      <c r="B7" s="17">
        <f>総合福祉センター!L13</f>
        <v>1.4</v>
      </c>
      <c r="C7" s="17">
        <f>総合福祉センター!M13</f>
        <v>1.4</v>
      </c>
      <c r="D7" s="17">
        <f>総合福祉センター!B6</f>
        <v>1.4</v>
      </c>
      <c r="E7" s="17">
        <f>総合福祉センター!C6</f>
        <v>3.49</v>
      </c>
      <c r="F7" s="17">
        <f>総合福祉センター!D6</f>
        <v>3.49</v>
      </c>
      <c r="G7" s="17">
        <f>総合福祉センター!E6</f>
        <v>3.49</v>
      </c>
      <c r="H7" s="17">
        <f>総合福祉センター!F6</f>
        <v>3.49</v>
      </c>
      <c r="I7" s="17">
        <f>総合福祉センター!G6</f>
        <v>3.49</v>
      </c>
      <c r="J7" s="17">
        <f>総合福祉センター!H6</f>
        <v>3.49</v>
      </c>
      <c r="K7" s="17">
        <f>総合福祉センター!I6</f>
        <v>3.49</v>
      </c>
      <c r="L7" s="17">
        <f>総合福祉センター!J6</f>
        <v>3.49</v>
      </c>
      <c r="M7" s="18">
        <f>総合福祉センター!K6</f>
        <v>3.49</v>
      </c>
      <c r="N7" s="15"/>
      <c r="O7" s="19">
        <f>ROUND(AVERAGE(B7:M7),)</f>
        <v>3</v>
      </c>
    </row>
    <row r="8" spans="1:15" ht="25.05" customHeight="1">
      <c r="A8" s="7" t="s">
        <v>478</v>
      </c>
      <c r="B8" s="17">
        <f>総合福祉センター!L14</f>
        <v>20.486418183432477</v>
      </c>
      <c r="C8" s="17">
        <f>総合福祉センター!M14</f>
        <v>20.336682788525682</v>
      </c>
      <c r="D8" s="17">
        <f>総合福祉センター!B7</f>
        <v>19.820321349029587</v>
      </c>
      <c r="E8" s="17">
        <f>総合福祉センター!C7</f>
        <v>21.502034352640372</v>
      </c>
      <c r="F8" s="17">
        <f>総合福祉センター!D7</f>
        <v>22.195479724225628</v>
      </c>
      <c r="G8" s="17">
        <f>総合福祉センター!E7</f>
        <v>23.022713229631911</v>
      </c>
      <c r="H8" s="17">
        <f>総合福祉センター!F7</f>
        <v>23.042204622595769</v>
      </c>
      <c r="I8" s="17">
        <f>総合福祉センター!G7</f>
        <v>21.095008733319361</v>
      </c>
      <c r="J8" s="17">
        <f>総合福祉センター!H7</f>
        <v>21.552959595128378</v>
      </c>
      <c r="K8" s="17">
        <f>総合福祉センター!I7</f>
        <v>22.359814794600297</v>
      </c>
      <c r="L8" s="17">
        <f>総合福祉センター!J7</f>
        <v>23.520520227303479</v>
      </c>
      <c r="M8" s="18">
        <f>総合福祉センター!K7</f>
        <v>23.193221854526008</v>
      </c>
      <c r="N8" s="15"/>
      <c r="O8" s="19">
        <f>ROUND(AVERAGE(B8:M8),2)</f>
        <v>21.84</v>
      </c>
    </row>
    <row r="9" spans="1:15" ht="25.05" customHeight="1">
      <c r="A9" s="5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25.05" customHeight="1">
      <c r="A10" s="6"/>
      <c r="B10" s="6" t="s">
        <v>479</v>
      </c>
      <c r="C10" s="6" t="s">
        <v>480</v>
      </c>
      <c r="D10" s="6" t="s">
        <v>481</v>
      </c>
      <c r="E10" s="6" t="s">
        <v>482</v>
      </c>
      <c r="F10" s="6" t="s">
        <v>483</v>
      </c>
      <c r="G10" s="6" t="s">
        <v>484</v>
      </c>
      <c r="H10" s="6" t="s">
        <v>485</v>
      </c>
      <c r="I10" s="6" t="s">
        <v>486</v>
      </c>
      <c r="J10" s="6" t="s">
        <v>487</v>
      </c>
      <c r="K10" s="6" t="s">
        <v>488</v>
      </c>
      <c r="L10" s="6" t="s">
        <v>489</v>
      </c>
      <c r="M10" s="11" t="s">
        <v>490</v>
      </c>
      <c r="N10" s="12" t="s">
        <v>473</v>
      </c>
      <c r="O10" s="6" t="s">
        <v>474</v>
      </c>
    </row>
    <row r="11" spans="1:15" ht="25.05" customHeight="1">
      <c r="A11" s="7" t="s">
        <v>475</v>
      </c>
      <c r="B11" s="13">
        <f>総合福祉センター!L17</f>
        <v>55309</v>
      </c>
      <c r="C11" s="13">
        <f>総合福祉センター!M17</f>
        <v>58515</v>
      </c>
      <c r="D11" s="13">
        <f>総合福祉センター!B10</f>
        <v>53370</v>
      </c>
      <c r="E11" s="13">
        <f>総合福祉センター!C10</f>
        <v>48403</v>
      </c>
      <c r="F11" s="13">
        <f>総合福祉センター!D10</f>
        <v>46801</v>
      </c>
      <c r="G11" s="13">
        <f>総合福祉センター!E10</f>
        <v>63384</v>
      </c>
      <c r="H11" s="13">
        <f>総合福祉センター!F10</f>
        <v>70304</v>
      </c>
      <c r="I11" s="13">
        <f>総合福祉センター!G10</f>
        <v>58781</v>
      </c>
      <c r="J11" s="13">
        <f>総合福祉センター!H10</f>
        <v>47414</v>
      </c>
      <c r="K11" s="13">
        <f>総合福祉センター!I10</f>
        <v>56083</v>
      </c>
      <c r="L11" s="13">
        <f>総合福祉センター!J10</f>
        <v>57641</v>
      </c>
      <c r="M11" s="14">
        <f>総合福祉センター!K10</f>
        <v>56891</v>
      </c>
      <c r="N11" s="15">
        <f>SUM(B11:M11)</f>
        <v>672896</v>
      </c>
      <c r="O11" s="16">
        <f>ROUND(AVERAGE(B11:M11),0)</f>
        <v>56075</v>
      </c>
    </row>
    <row r="12" spans="1:15" ht="25.05" customHeight="1">
      <c r="A12" s="7" t="s">
        <v>476</v>
      </c>
      <c r="B12" s="17">
        <f>総合福祉センター!L18</f>
        <v>15.95</v>
      </c>
      <c r="C12" s="17">
        <f>総合福祉センター!M18</f>
        <v>15.98</v>
      </c>
      <c r="D12" s="17">
        <f>総合福祉センター!B11</f>
        <v>30.73</v>
      </c>
      <c r="E12" s="17">
        <f>総合福祉センター!C11</f>
        <v>30.64</v>
      </c>
      <c r="F12" s="17">
        <f>総合福祉センター!D11</f>
        <v>30.8</v>
      </c>
      <c r="G12" s="17">
        <f>総合福祉センター!E11</f>
        <v>30.7</v>
      </c>
      <c r="H12" s="17">
        <f>総合福祉センター!F11</f>
        <v>30.78</v>
      </c>
      <c r="I12" s="17">
        <f>総合福祉センター!G11</f>
        <v>30.74</v>
      </c>
      <c r="J12" s="17">
        <f>総合福祉センター!H11</f>
        <v>30.74</v>
      </c>
      <c r="K12" s="17">
        <f>総合福祉センター!I11</f>
        <v>30.73</v>
      </c>
      <c r="L12" s="17">
        <f>総合福祉センター!J11</f>
        <v>30.75</v>
      </c>
      <c r="M12" s="18">
        <f>総合福祉センター!K11</f>
        <v>30.71</v>
      </c>
      <c r="N12" s="15"/>
      <c r="O12" s="19">
        <f>ROUND(AVERAGE(B12:M12),2)</f>
        <v>28.27</v>
      </c>
    </row>
    <row r="13" spans="1:15" ht="25.05" customHeight="1">
      <c r="A13" s="7" t="s">
        <v>477</v>
      </c>
      <c r="B13" s="17">
        <f>総合福祉センター!L19</f>
        <v>6.35</v>
      </c>
      <c r="C13" s="17">
        <f>総合福祉センター!M19</f>
        <v>5.8</v>
      </c>
      <c r="D13" s="17">
        <f>総合福祉センター!B12</f>
        <v>-5.38</v>
      </c>
      <c r="E13" s="17">
        <f>総合福祉センター!C12</f>
        <v>-7.03</v>
      </c>
      <c r="F13" s="17">
        <f>総合福祉センター!D12</f>
        <v>-9.14</v>
      </c>
      <c r="G13" s="17">
        <f>総合福祉センター!E12</f>
        <v>-10.92</v>
      </c>
      <c r="H13" s="17">
        <f>総合福祉センター!F12</f>
        <v>-12.31</v>
      </c>
      <c r="I13" s="17">
        <f>総合福祉センター!G12</f>
        <v>-13.19</v>
      </c>
      <c r="J13" s="17">
        <f>総合福祉センター!H12</f>
        <v>-11.95</v>
      </c>
      <c r="K13" s="17">
        <f>総合福祉センター!I12</f>
        <v>-12.11</v>
      </c>
      <c r="L13" s="17">
        <f>総合福祉センター!J12</f>
        <v>-12.01</v>
      </c>
      <c r="M13" s="18">
        <f>総合福祉センター!K12</f>
        <v>-11.77</v>
      </c>
      <c r="N13" s="15"/>
      <c r="O13" s="19">
        <f>ROUND(AVERAGE(B13:M13),2)</f>
        <v>-7.81</v>
      </c>
    </row>
    <row r="14" spans="1:15" ht="25.05" customHeight="1">
      <c r="A14" s="7" t="s">
        <v>459</v>
      </c>
      <c r="B14" s="17">
        <f>総合福祉センター!L20</f>
        <v>3.45</v>
      </c>
      <c r="C14" s="17">
        <f>総合福祉センター!M20</f>
        <v>3.45</v>
      </c>
      <c r="D14" s="17">
        <f>総合福祉センター!B13</f>
        <v>3.45</v>
      </c>
      <c r="E14" s="17">
        <f>総合福祉センター!C13</f>
        <v>1.4</v>
      </c>
      <c r="F14" s="17">
        <f>総合福祉センター!D13</f>
        <v>1.4</v>
      </c>
      <c r="G14" s="17">
        <f>総合福祉センター!E13</f>
        <v>1.4</v>
      </c>
      <c r="H14" s="17">
        <f>総合福祉センター!F13</f>
        <v>1.4</v>
      </c>
      <c r="I14" s="17">
        <f>総合福祉センター!G13</f>
        <v>1.4</v>
      </c>
      <c r="J14" s="17">
        <f>総合福祉センター!H13</f>
        <v>1.4</v>
      </c>
      <c r="K14" s="17">
        <f>総合福祉センター!I13</f>
        <v>1.4</v>
      </c>
      <c r="L14" s="17">
        <f>総合福祉センター!J13</f>
        <v>1.4</v>
      </c>
      <c r="M14" s="18">
        <f>総合福祉センター!K13</f>
        <v>1.4</v>
      </c>
      <c r="N14" s="15"/>
      <c r="O14" s="19">
        <f>ROUND(AVERAGE(B14:M14),2)</f>
        <v>1.91</v>
      </c>
    </row>
    <row r="15" spans="1:15" ht="25.05" customHeight="1">
      <c r="A15" s="7" t="s">
        <v>478</v>
      </c>
      <c r="B15" s="17">
        <f>総合福祉センター!L21</f>
        <v>25.749999999999996</v>
      </c>
      <c r="C15" s="17">
        <f>総合福祉センター!M21</f>
        <v>25.23</v>
      </c>
      <c r="D15" s="17">
        <f>総合福祉センター!B14</f>
        <v>28.8</v>
      </c>
      <c r="E15" s="17">
        <f>総合福祉センター!C14</f>
        <v>25.009999999999998</v>
      </c>
      <c r="F15" s="17">
        <f>総合福祉センター!D14</f>
        <v>23.06</v>
      </c>
      <c r="G15" s="17">
        <f>総合福祉センター!E14</f>
        <v>21.18</v>
      </c>
      <c r="H15" s="17">
        <f>総合福祉センター!F14</f>
        <v>19.869999999999997</v>
      </c>
      <c r="I15" s="17">
        <f>総合福祉センター!G14</f>
        <v>18.949999999999996</v>
      </c>
      <c r="J15" s="17">
        <f>総合福祉センター!H14</f>
        <v>20.189999999999998</v>
      </c>
      <c r="K15" s="17">
        <f>総合福祉センター!I14</f>
        <v>20.02</v>
      </c>
      <c r="L15" s="17">
        <f>総合福祉センター!J14</f>
        <v>20.14</v>
      </c>
      <c r="M15" s="18">
        <f>総合福祉センター!K14</f>
        <v>20.34</v>
      </c>
      <c r="N15" s="15"/>
      <c r="O15" s="19">
        <f t="shared" ref="O15" si="0">AVERAGE(B15:M15)</f>
        <v>22.37833333333333</v>
      </c>
    </row>
    <row r="16" spans="1:15" ht="25.05" customHeight="1">
      <c r="A16" s="5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25.05" customHeight="1">
      <c r="A17" s="6"/>
      <c r="B17" s="6" t="s">
        <v>491</v>
      </c>
      <c r="C17" s="6" t="s">
        <v>492</v>
      </c>
      <c r="D17" s="6" t="s">
        <v>493</v>
      </c>
      <c r="E17" s="6" t="s">
        <v>494</v>
      </c>
      <c r="F17" s="6" t="s">
        <v>495</v>
      </c>
      <c r="G17" s="6" t="s">
        <v>496</v>
      </c>
      <c r="H17" s="6" t="s">
        <v>497</v>
      </c>
      <c r="I17" s="6" t="s">
        <v>498</v>
      </c>
      <c r="J17" s="6" t="s">
        <v>499</v>
      </c>
      <c r="K17" s="6" t="s">
        <v>500</v>
      </c>
      <c r="L17" s="6" t="s">
        <v>501</v>
      </c>
      <c r="M17" s="11" t="s">
        <v>502</v>
      </c>
      <c r="N17" s="12" t="s">
        <v>473</v>
      </c>
      <c r="O17" s="6" t="s">
        <v>474</v>
      </c>
    </row>
    <row r="18" spans="1:15" ht="25.05" customHeight="1">
      <c r="A18" s="7" t="s">
        <v>475</v>
      </c>
      <c r="B18" s="13">
        <f>総合福祉センター!L24</f>
        <v>54032</v>
      </c>
      <c r="C18" s="13">
        <f>総合福祉センター!M24</f>
        <v>58193</v>
      </c>
      <c r="D18" s="13">
        <f>総合福祉センター!B17</f>
        <v>53533</v>
      </c>
      <c r="E18" s="13">
        <f>総合福祉センター!C17</f>
        <v>48172</v>
      </c>
      <c r="F18" s="13">
        <f>総合福祉センター!D17</f>
        <v>47936</v>
      </c>
      <c r="G18" s="13">
        <f>総合福祉センター!E17</f>
        <v>61391</v>
      </c>
      <c r="H18" s="13">
        <f>総合福祉センター!F17</f>
        <v>63936</v>
      </c>
      <c r="I18" s="13">
        <f>総合福祉センター!G17</f>
        <v>55059</v>
      </c>
      <c r="J18" s="13">
        <f>総合福祉センター!H17</f>
        <v>46342</v>
      </c>
      <c r="K18" s="13">
        <f>総合福祉センター!I17</f>
        <v>52841</v>
      </c>
      <c r="L18" s="13">
        <f>総合福祉センター!J17</f>
        <v>55966</v>
      </c>
      <c r="M18" s="14">
        <f>総合福祉センター!K17</f>
        <v>57535</v>
      </c>
      <c r="N18" s="15">
        <f>SUM(B18:M18)</f>
        <v>654936</v>
      </c>
      <c r="O18" s="16">
        <f>ROUND(AVERAGE(B18:M18),0)</f>
        <v>54578</v>
      </c>
    </row>
    <row r="19" spans="1:15" ht="25.05" customHeight="1">
      <c r="A19" s="7" t="s">
        <v>476</v>
      </c>
      <c r="B19" s="17">
        <f>総合福祉センター!L25</f>
        <v>15.92</v>
      </c>
      <c r="C19" s="17">
        <f>総合福祉センター!M25</f>
        <v>15.98</v>
      </c>
      <c r="D19" s="17">
        <f>総合福祉センター!B18</f>
        <v>15.95</v>
      </c>
      <c r="E19" s="17">
        <f>総合福祉センター!C18</f>
        <v>15.86</v>
      </c>
      <c r="F19" s="17">
        <f>総合福祉センター!D18</f>
        <v>16.010000000000002</v>
      </c>
      <c r="G19" s="17">
        <f>総合福祉センター!E18</f>
        <v>15.94</v>
      </c>
      <c r="H19" s="17">
        <f>総合福祉センター!F18</f>
        <v>15.98</v>
      </c>
      <c r="I19" s="17">
        <f>総合福祉センター!G18</f>
        <v>15.94</v>
      </c>
      <c r="J19" s="17">
        <f>総合福祉センター!H18</f>
        <v>15.92</v>
      </c>
      <c r="K19" s="17">
        <f>総合福祉センター!I18</f>
        <v>15.94</v>
      </c>
      <c r="L19" s="17">
        <f>総合福祉センター!J18</f>
        <v>15.97</v>
      </c>
      <c r="M19" s="18">
        <f>総合福祉センター!K18</f>
        <v>15.92</v>
      </c>
      <c r="N19" s="15"/>
      <c r="O19" s="19">
        <f t="shared" ref="O19" si="1">AVERAGE(B19:M19)</f>
        <v>15.944166666666666</v>
      </c>
    </row>
    <row r="20" spans="1:15" ht="25.05" customHeight="1">
      <c r="A20" s="7" t="s">
        <v>477</v>
      </c>
      <c r="B20" s="17">
        <f>総合福祉センター!L26</f>
        <v>0.6</v>
      </c>
      <c r="C20" s="17">
        <f>総合福祉センター!M26</f>
        <v>1.1200000000000001</v>
      </c>
      <c r="D20" s="17">
        <f>総合福祉センター!B19</f>
        <v>1.34</v>
      </c>
      <c r="E20" s="17">
        <f>総合福祉センター!C19</f>
        <v>1.49</v>
      </c>
      <c r="F20" s="17">
        <f>総合福祉センター!D19</f>
        <v>1.85</v>
      </c>
      <c r="G20" s="17">
        <f>総合福祉センター!E19</f>
        <v>3.1</v>
      </c>
      <c r="H20" s="17">
        <f>総合福祉センター!F19</f>
        <v>4.55</v>
      </c>
      <c r="I20" s="17">
        <f>総合福祉センター!G19</f>
        <v>6.54</v>
      </c>
      <c r="J20" s="17">
        <f>総合福祉センター!H19</f>
        <v>8.0500000000000007</v>
      </c>
      <c r="K20" s="17">
        <f>総合福祉センター!I19</f>
        <v>8.94</v>
      </c>
      <c r="L20" s="17">
        <f>総合福祉センター!J19</f>
        <v>9.36</v>
      </c>
      <c r="M20" s="18">
        <f>総合福祉センター!K19</f>
        <v>9.51</v>
      </c>
      <c r="N20" s="15"/>
      <c r="O20" s="19">
        <f>ROUND(AVERAGE(B20:M20),2)</f>
        <v>4.7</v>
      </c>
    </row>
    <row r="21" spans="1:15" ht="25.05" customHeight="1">
      <c r="A21" s="7" t="s">
        <v>459</v>
      </c>
      <c r="B21" s="17">
        <f>総合福祉センター!L27</f>
        <v>3.36</v>
      </c>
      <c r="C21" s="17">
        <f>総合福祉センター!M27</f>
        <v>3.36</v>
      </c>
      <c r="D21" s="17">
        <f>総合福祉センター!C20</f>
        <v>3.45</v>
      </c>
      <c r="E21" s="17">
        <f>総合福祉センター!D20</f>
        <v>3.45</v>
      </c>
      <c r="F21" s="17">
        <f>総合福祉センター!E20</f>
        <v>3.45</v>
      </c>
      <c r="G21" s="17">
        <f>総合福祉センター!F20</f>
        <v>3.45</v>
      </c>
      <c r="H21" s="17">
        <f>総合福祉センター!G20</f>
        <v>3.45</v>
      </c>
      <c r="I21" s="17">
        <f>総合福祉センター!H20</f>
        <v>3.45</v>
      </c>
      <c r="J21" s="17">
        <f>総合福祉センター!I20</f>
        <v>3.45</v>
      </c>
      <c r="K21" s="17">
        <f>総合福祉センター!J20</f>
        <v>3.45</v>
      </c>
      <c r="L21" s="17">
        <f>総合福祉センター!K20</f>
        <v>3.45</v>
      </c>
      <c r="M21" s="18">
        <f>総合福祉センター!L20</f>
        <v>3.45</v>
      </c>
      <c r="N21" s="15"/>
      <c r="O21" s="19">
        <f>ROUND(AVERAGE(B21:M21),2)</f>
        <v>3.44</v>
      </c>
    </row>
    <row r="22" spans="1:15" ht="25.05" customHeight="1">
      <c r="A22" s="7" t="s">
        <v>478</v>
      </c>
      <c r="B22" s="17">
        <f>総合福祉センター!L28</f>
        <v>19.88</v>
      </c>
      <c r="C22" s="17">
        <f>総合福祉センター!M28</f>
        <v>20.46</v>
      </c>
      <c r="D22" s="17">
        <f>総合福祉センター!B21</f>
        <v>20.65</v>
      </c>
      <c r="E22" s="17">
        <f>総合福祉センター!C21</f>
        <v>20.799999999999997</v>
      </c>
      <c r="F22" s="17">
        <f>総合福祉センター!D21</f>
        <v>21.310000000000002</v>
      </c>
      <c r="G22" s="17">
        <f>総合福祉センター!E21</f>
        <v>22.49</v>
      </c>
      <c r="H22" s="17">
        <f>総合福祉センター!F21</f>
        <v>23.98</v>
      </c>
      <c r="I22" s="17">
        <f>総合福祉センター!G21</f>
        <v>25.93</v>
      </c>
      <c r="J22" s="17">
        <f>総合福祉センター!H21</f>
        <v>27.419999999999998</v>
      </c>
      <c r="K22" s="17">
        <f>総合福祉センター!I21</f>
        <v>28.33</v>
      </c>
      <c r="L22" s="17">
        <f>総合福祉センター!J21</f>
        <v>28.779999999999998</v>
      </c>
      <c r="M22" s="18">
        <f>総合福祉センター!K21</f>
        <v>28.88</v>
      </c>
      <c r="N22" s="15"/>
      <c r="O22" s="19">
        <f>ROUND(AVERAGE(B22:M22),2)</f>
        <v>24.08</v>
      </c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EE576-3117-4E2D-9ACD-F79A75E1896F}">
  <sheetPr>
    <tabColor rgb="FF00B050"/>
  </sheetPr>
  <dimension ref="A1:F155"/>
  <sheetViews>
    <sheetView workbookViewId="0">
      <pane xSplit="2" ySplit="3" topLeftCell="C4" activePane="bottomRight" state="frozen"/>
      <selection activeCell="F56" sqref="F56"/>
      <selection pane="topRight" activeCell="F56" sqref="F56"/>
      <selection pane="bottomLeft" activeCell="F56" sqref="F56"/>
      <selection pane="bottomRight" activeCell="F56" sqref="F56"/>
    </sheetView>
  </sheetViews>
  <sheetFormatPr defaultRowHeight="17.649999999999999"/>
  <cols>
    <col min="1" max="1" width="4.875" customWidth="1"/>
    <col min="2" max="2" width="41.125" hidden="1" customWidth="1"/>
    <col min="3" max="3" width="17.125" customWidth="1"/>
    <col min="4" max="4" width="5.9375" bestFit="1" customWidth="1"/>
    <col min="5" max="5" width="30.125" customWidth="1"/>
    <col min="6" max="6" width="13.5625" bestFit="1" customWidth="1"/>
  </cols>
  <sheetData>
    <row r="1" spans="1:6">
      <c r="A1" s="21" t="s">
        <v>517</v>
      </c>
    </row>
    <row r="2" spans="1:6">
      <c r="A2" s="21"/>
    </row>
    <row r="3" spans="1:6">
      <c r="A3" s="25" t="s">
        <v>518</v>
      </c>
      <c r="B3" s="25" t="s">
        <v>519</v>
      </c>
      <c r="C3" s="25" t="s">
        <v>520</v>
      </c>
      <c r="D3" s="25" t="s">
        <v>3</v>
      </c>
      <c r="E3" s="25" t="s">
        <v>521</v>
      </c>
      <c r="F3" s="25" t="s">
        <v>522</v>
      </c>
    </row>
    <row r="4" spans="1:6">
      <c r="A4" s="25">
        <v>1</v>
      </c>
      <c r="B4" s="25" t="str">
        <f t="shared" ref="B4:B67" si="0">C4&amp;D4&amp;E4</f>
        <v>MT150W1外灯</v>
      </c>
      <c r="C4" s="7" t="s">
        <v>444</v>
      </c>
      <c r="D4" s="70">
        <v>1</v>
      </c>
      <c r="E4" s="71" t="s">
        <v>235</v>
      </c>
      <c r="F4" s="2">
        <v>165</v>
      </c>
    </row>
    <row r="5" spans="1:6">
      <c r="A5" s="25">
        <v>2</v>
      </c>
      <c r="B5" s="25" t="str">
        <f t="shared" si="0"/>
        <v>MF200W1外灯</v>
      </c>
      <c r="C5" s="7" t="s">
        <v>445</v>
      </c>
      <c r="D5" s="70">
        <v>1</v>
      </c>
      <c r="E5" s="71" t="s">
        <v>235</v>
      </c>
      <c r="F5" s="2">
        <v>220</v>
      </c>
    </row>
    <row r="6" spans="1:6">
      <c r="A6" s="25">
        <v>3</v>
      </c>
      <c r="B6" s="25" t="str">
        <f t="shared" si="0"/>
        <v>FL40W2逆富士</v>
      </c>
      <c r="C6" s="72" t="s">
        <v>38</v>
      </c>
      <c r="D6" s="34">
        <v>2</v>
      </c>
      <c r="E6" s="71" t="s">
        <v>356</v>
      </c>
      <c r="F6" s="2">
        <v>94</v>
      </c>
    </row>
    <row r="7" spans="1:6">
      <c r="A7" s="25">
        <v>4</v>
      </c>
      <c r="B7" s="25" t="str">
        <f t="shared" si="0"/>
        <v>FL40W1逆富士</v>
      </c>
      <c r="C7" s="72" t="s">
        <v>38</v>
      </c>
      <c r="D7" s="34">
        <v>1</v>
      </c>
      <c r="E7" s="71" t="s">
        <v>356</v>
      </c>
      <c r="F7" s="2">
        <v>47</v>
      </c>
    </row>
    <row r="8" spans="1:6">
      <c r="A8" s="25">
        <v>5</v>
      </c>
      <c r="B8" s="25" t="str">
        <f t="shared" si="0"/>
        <v>FL40W1笠付　パイプ吊</v>
      </c>
      <c r="C8" s="72" t="s">
        <v>38</v>
      </c>
      <c r="D8" s="34">
        <v>1</v>
      </c>
      <c r="E8" s="71" t="s">
        <v>436</v>
      </c>
      <c r="F8" s="2">
        <v>47</v>
      </c>
    </row>
    <row r="9" spans="1:6">
      <c r="A9" s="25">
        <v>6</v>
      </c>
      <c r="B9" s="25" t="str">
        <f t="shared" si="0"/>
        <v>FL40W1笠付</v>
      </c>
      <c r="C9" s="72" t="s">
        <v>38</v>
      </c>
      <c r="D9" s="34">
        <v>1</v>
      </c>
      <c r="E9" s="71" t="s">
        <v>358</v>
      </c>
      <c r="F9" s="2">
        <v>47</v>
      </c>
    </row>
    <row r="10" spans="1:6">
      <c r="A10" s="25">
        <v>7</v>
      </c>
      <c r="B10" s="25" t="str">
        <f t="shared" si="0"/>
        <v>FL40W2笠付</v>
      </c>
      <c r="C10" s="72" t="s">
        <v>38</v>
      </c>
      <c r="D10" s="34">
        <v>2</v>
      </c>
      <c r="E10" s="71" t="s">
        <v>358</v>
      </c>
      <c r="F10" s="2">
        <v>94</v>
      </c>
    </row>
    <row r="11" spans="1:6">
      <c r="A11" s="25">
        <v>8</v>
      </c>
      <c r="B11" s="25" t="str">
        <f t="shared" si="0"/>
        <v>FL40SW ＋PIL100V40WS35E172笠付　非常照明付　電池内蔵</v>
      </c>
      <c r="C11" s="72" t="s">
        <v>293</v>
      </c>
      <c r="D11" s="34">
        <v>2</v>
      </c>
      <c r="E11" s="71" t="s">
        <v>435</v>
      </c>
      <c r="F11" s="2">
        <v>94</v>
      </c>
    </row>
    <row r="12" spans="1:6">
      <c r="A12" s="25">
        <v>9</v>
      </c>
      <c r="B12" s="25" t="str">
        <f t="shared" si="0"/>
        <v>FL40W ＋PIL100V40WS35E171笠付</v>
      </c>
      <c r="C12" s="72" t="s">
        <v>350</v>
      </c>
      <c r="D12" s="34">
        <v>1</v>
      </c>
      <c r="E12" s="71" t="s">
        <v>358</v>
      </c>
      <c r="F12" s="2">
        <v>47</v>
      </c>
    </row>
    <row r="13" spans="1:6">
      <c r="A13" s="25">
        <v>10</v>
      </c>
      <c r="B13" s="25" t="str">
        <f t="shared" si="0"/>
        <v>FL40W ＋PIL100V40WS35E172笠付</v>
      </c>
      <c r="C13" s="72" t="s">
        <v>350</v>
      </c>
      <c r="D13" s="34">
        <v>2</v>
      </c>
      <c r="E13" s="71" t="s">
        <v>358</v>
      </c>
      <c r="F13" s="2">
        <v>94</v>
      </c>
    </row>
    <row r="14" spans="1:6">
      <c r="A14" s="25">
        <v>11</v>
      </c>
      <c r="B14" s="25" t="str">
        <f t="shared" si="0"/>
        <v>FL40W1トラフ</v>
      </c>
      <c r="C14" s="72" t="s">
        <v>38</v>
      </c>
      <c r="D14" s="34">
        <v>1</v>
      </c>
      <c r="E14" s="71" t="s">
        <v>357</v>
      </c>
      <c r="F14" s="2">
        <v>47</v>
      </c>
    </row>
    <row r="15" spans="1:6">
      <c r="A15" s="25">
        <v>12</v>
      </c>
      <c r="B15" s="25" t="str">
        <f t="shared" si="0"/>
        <v>FL40W1チェーン吊</v>
      </c>
      <c r="C15" s="72" t="s">
        <v>38</v>
      </c>
      <c r="D15" s="34">
        <v>1</v>
      </c>
      <c r="E15" s="71" t="s">
        <v>434</v>
      </c>
      <c r="F15" s="2">
        <v>47</v>
      </c>
    </row>
    <row r="16" spans="1:6">
      <c r="A16" s="25">
        <v>13</v>
      </c>
      <c r="B16" s="25" t="str">
        <f t="shared" si="0"/>
        <v>FL40W3埋込W300</v>
      </c>
      <c r="C16" s="72" t="s">
        <v>38</v>
      </c>
      <c r="D16" s="34">
        <v>3</v>
      </c>
      <c r="E16" s="71" t="s">
        <v>359</v>
      </c>
      <c r="F16" s="2">
        <v>141</v>
      </c>
    </row>
    <row r="17" spans="1:6">
      <c r="A17" s="25">
        <v>14</v>
      </c>
      <c r="B17" s="25" t="str">
        <f t="shared" si="0"/>
        <v>LED1直付　非常照明付　電池内蔵</v>
      </c>
      <c r="C17" s="72" t="s">
        <v>307</v>
      </c>
      <c r="D17" s="34">
        <v>1</v>
      </c>
      <c r="E17" s="71" t="s">
        <v>318</v>
      </c>
      <c r="F17" s="2">
        <v>20</v>
      </c>
    </row>
    <row r="18" spans="1:6">
      <c r="A18" s="25">
        <v>15</v>
      </c>
      <c r="B18" s="25" t="str">
        <f t="shared" si="0"/>
        <v>FPL28W2埋込　スクエア□350</v>
      </c>
      <c r="C18" s="72" t="s">
        <v>446</v>
      </c>
      <c r="D18" s="34">
        <v>2</v>
      </c>
      <c r="E18" s="71" t="s">
        <v>360</v>
      </c>
      <c r="F18" s="2">
        <v>31</v>
      </c>
    </row>
    <row r="19" spans="1:6">
      <c r="A19" s="25">
        <v>16</v>
      </c>
      <c r="B19" s="25" t="str">
        <f t="shared" si="0"/>
        <v>冷陰極1避難口誘導灯</v>
      </c>
      <c r="C19" s="72" t="s">
        <v>443</v>
      </c>
      <c r="D19" s="34">
        <v>1</v>
      </c>
      <c r="E19" s="71" t="s">
        <v>361</v>
      </c>
      <c r="F19" s="2">
        <v>8</v>
      </c>
    </row>
    <row r="20" spans="1:6">
      <c r="A20" s="25">
        <v>17</v>
      </c>
      <c r="B20" s="25" t="str">
        <f t="shared" si="0"/>
        <v>冷陰極1通路誘導灯</v>
      </c>
      <c r="C20" s="72" t="s">
        <v>443</v>
      </c>
      <c r="D20" s="34">
        <v>1</v>
      </c>
      <c r="E20" s="71" t="s">
        <v>364</v>
      </c>
      <c r="F20" s="2">
        <v>3.6</v>
      </c>
    </row>
    <row r="21" spans="1:6">
      <c r="A21" s="25">
        <v>18</v>
      </c>
      <c r="B21" s="25" t="str">
        <f t="shared" si="0"/>
        <v>FL20W1避難口誘導灯</v>
      </c>
      <c r="C21" s="72" t="s">
        <v>40</v>
      </c>
      <c r="D21" s="34">
        <v>1</v>
      </c>
      <c r="E21" s="71" t="s">
        <v>361</v>
      </c>
      <c r="F21" s="2">
        <v>22</v>
      </c>
    </row>
    <row r="22" spans="1:6">
      <c r="A22" s="25">
        <v>19</v>
      </c>
      <c r="B22" s="25" t="str">
        <f t="shared" si="0"/>
        <v>FL10W1通路誘導灯</v>
      </c>
      <c r="C22" s="72" t="s">
        <v>110</v>
      </c>
      <c r="D22" s="34">
        <v>1</v>
      </c>
      <c r="E22" s="71" t="s">
        <v>338</v>
      </c>
      <c r="F22" s="2">
        <v>12</v>
      </c>
    </row>
    <row r="23" spans="1:6">
      <c r="A23" s="25">
        <v>20</v>
      </c>
      <c r="B23" s="25" t="str">
        <f t="shared" si="0"/>
        <v>IL40W1非常灯　電源別置　φ100</v>
      </c>
      <c r="C23" s="72" t="s">
        <v>284</v>
      </c>
      <c r="D23" s="34">
        <v>1</v>
      </c>
      <c r="E23" s="71" t="s">
        <v>237</v>
      </c>
      <c r="F23" s="2">
        <v>40</v>
      </c>
    </row>
    <row r="24" spans="1:6">
      <c r="A24" s="25">
        <v>21</v>
      </c>
      <c r="B24" s="25" t="str">
        <f t="shared" si="0"/>
        <v>FL40W1トラフ　防水</v>
      </c>
      <c r="C24" s="72" t="s">
        <v>38</v>
      </c>
      <c r="D24" s="34">
        <v>1</v>
      </c>
      <c r="E24" s="71" t="s">
        <v>365</v>
      </c>
      <c r="F24" s="2">
        <v>47</v>
      </c>
    </row>
    <row r="25" spans="1:6">
      <c r="A25" s="25">
        <v>22</v>
      </c>
      <c r="B25" s="25" t="str">
        <f t="shared" si="0"/>
        <v>FPL27W2埋込　スクエア□350</v>
      </c>
      <c r="C25" s="72" t="s">
        <v>447</v>
      </c>
      <c r="D25" s="34">
        <v>2</v>
      </c>
      <c r="E25" s="71" t="s">
        <v>360</v>
      </c>
      <c r="F25" s="2">
        <v>66</v>
      </c>
    </row>
    <row r="26" spans="1:6">
      <c r="A26" s="25">
        <v>23</v>
      </c>
      <c r="B26" s="25" t="str">
        <f t="shared" si="0"/>
        <v>FL20W1ブラケット</v>
      </c>
      <c r="C26" s="72" t="s">
        <v>40</v>
      </c>
      <c r="D26" s="34">
        <v>1</v>
      </c>
      <c r="E26" s="71" t="s">
        <v>366</v>
      </c>
      <c r="F26" s="2">
        <v>22</v>
      </c>
    </row>
    <row r="27" spans="1:6">
      <c r="A27" s="25">
        <v>24</v>
      </c>
      <c r="B27" s="25" t="str">
        <f t="shared" si="0"/>
        <v>FDL18W1ダウンライト　φ150</v>
      </c>
      <c r="C27" s="72" t="s">
        <v>340</v>
      </c>
      <c r="D27" s="34">
        <v>1</v>
      </c>
      <c r="E27" s="71" t="s">
        <v>367</v>
      </c>
      <c r="F27" s="2">
        <v>22</v>
      </c>
    </row>
    <row r="28" spans="1:6">
      <c r="A28" s="25">
        <v>25</v>
      </c>
      <c r="B28" s="25" t="str">
        <f t="shared" si="0"/>
        <v xml:space="preserve">FL40W2埋込W300 </v>
      </c>
      <c r="C28" s="72" t="s">
        <v>264</v>
      </c>
      <c r="D28" s="34">
        <v>2</v>
      </c>
      <c r="E28" s="71" t="s">
        <v>368</v>
      </c>
      <c r="F28" s="2">
        <v>94</v>
      </c>
    </row>
    <row r="29" spans="1:6">
      <c r="A29" s="25">
        <v>26</v>
      </c>
      <c r="B29" s="25" t="str">
        <f t="shared" si="0"/>
        <v>FL20W＋PIL100V40WS35E172埋込W300　非常照明付　電源別置</v>
      </c>
      <c r="C29" s="72" t="s">
        <v>294</v>
      </c>
      <c r="D29" s="34">
        <v>2</v>
      </c>
      <c r="E29" s="71" t="s">
        <v>369</v>
      </c>
      <c r="F29" s="2">
        <v>44</v>
      </c>
    </row>
    <row r="30" spans="1:6">
      <c r="A30" s="25">
        <v>27</v>
      </c>
      <c r="B30" s="25" t="str">
        <f t="shared" si="0"/>
        <v>FL40W2埋込W300</v>
      </c>
      <c r="C30" s="72" t="s">
        <v>38</v>
      </c>
      <c r="D30" s="34">
        <v>2</v>
      </c>
      <c r="E30" s="71" t="s">
        <v>359</v>
      </c>
      <c r="F30" s="2">
        <v>94</v>
      </c>
    </row>
    <row r="31" spans="1:6">
      <c r="A31" s="25">
        <v>28</v>
      </c>
      <c r="B31" s="25" t="str">
        <f t="shared" si="0"/>
        <v>FL40SW ＋PIL100V40WS35E172埋込W300　非常照明付　電源別置</v>
      </c>
      <c r="C31" s="72" t="s">
        <v>293</v>
      </c>
      <c r="D31" s="34">
        <v>2</v>
      </c>
      <c r="E31" s="71" t="s">
        <v>369</v>
      </c>
      <c r="F31" s="2">
        <v>94</v>
      </c>
    </row>
    <row r="32" spans="1:6">
      <c r="A32" s="25">
        <v>29</v>
      </c>
      <c r="B32" s="25" t="str">
        <f t="shared" si="0"/>
        <v>FL40W2ブラケット</v>
      </c>
      <c r="C32" s="72" t="s">
        <v>38</v>
      </c>
      <c r="D32" s="34">
        <v>2</v>
      </c>
      <c r="E32" s="71" t="s">
        <v>366</v>
      </c>
      <c r="F32" s="2">
        <v>94</v>
      </c>
    </row>
    <row r="33" spans="1:6">
      <c r="A33" s="25">
        <v>30</v>
      </c>
      <c r="B33" s="25" t="str">
        <f t="shared" si="0"/>
        <v>FL40W2埋込W220　SUS</v>
      </c>
      <c r="C33" s="72" t="s">
        <v>38</v>
      </c>
      <c r="D33" s="34">
        <v>2</v>
      </c>
      <c r="E33" s="71" t="s">
        <v>370</v>
      </c>
      <c r="F33" s="2">
        <v>94</v>
      </c>
    </row>
    <row r="34" spans="1:6">
      <c r="A34" s="25">
        <v>31</v>
      </c>
      <c r="B34" s="25" t="str">
        <f t="shared" si="0"/>
        <v>FL40W1埋込W220</v>
      </c>
      <c r="C34" s="72" t="s">
        <v>38</v>
      </c>
      <c r="D34" s="34">
        <v>1</v>
      </c>
      <c r="E34" s="71" t="s">
        <v>371</v>
      </c>
      <c r="F34" s="2">
        <v>47</v>
      </c>
    </row>
    <row r="35" spans="1:6">
      <c r="A35" s="25">
        <v>32</v>
      </c>
      <c r="B35" s="25" t="str">
        <f t="shared" si="0"/>
        <v>FL40W2埋込W220</v>
      </c>
      <c r="C35" s="72" t="s">
        <v>38</v>
      </c>
      <c r="D35" s="34">
        <v>2</v>
      </c>
      <c r="E35" s="71" t="s">
        <v>371</v>
      </c>
      <c r="F35" s="2">
        <v>94</v>
      </c>
    </row>
    <row r="36" spans="1:6">
      <c r="A36" s="25">
        <v>33</v>
      </c>
      <c r="B36" s="25" t="str">
        <f t="shared" si="0"/>
        <v>FL20W2埋込 W300</v>
      </c>
      <c r="C36" s="72" t="s">
        <v>40</v>
      </c>
      <c r="D36" s="34">
        <v>2</v>
      </c>
      <c r="E36" s="71" t="s">
        <v>309</v>
      </c>
      <c r="F36" s="2">
        <v>44</v>
      </c>
    </row>
    <row r="37" spans="1:6">
      <c r="A37" s="25">
        <v>34</v>
      </c>
      <c r="B37" s="25" t="str">
        <f t="shared" si="0"/>
        <v>FL20W1片反射</v>
      </c>
      <c r="C37" s="72" t="s">
        <v>40</v>
      </c>
      <c r="D37" s="34">
        <v>1</v>
      </c>
      <c r="E37" s="71" t="s">
        <v>373</v>
      </c>
      <c r="F37" s="2">
        <v>22</v>
      </c>
    </row>
    <row r="38" spans="1:6">
      <c r="A38" s="25">
        <v>35</v>
      </c>
      <c r="B38" s="25" t="str">
        <f t="shared" si="0"/>
        <v>FL20W1逆富士</v>
      </c>
      <c r="C38" s="72" t="s">
        <v>40</v>
      </c>
      <c r="D38" s="34">
        <v>1</v>
      </c>
      <c r="E38" s="71" t="s">
        <v>356</v>
      </c>
      <c r="F38" s="2">
        <v>22</v>
      </c>
    </row>
    <row r="39" spans="1:6">
      <c r="A39" s="25">
        <v>36</v>
      </c>
      <c r="B39" s="25" t="str">
        <f t="shared" si="0"/>
        <v>KR60W1ダウンライト　φ125</v>
      </c>
      <c r="C39" s="72" t="s">
        <v>107</v>
      </c>
      <c r="D39" s="34">
        <v>1</v>
      </c>
      <c r="E39" s="71" t="s">
        <v>374</v>
      </c>
      <c r="F39" s="2">
        <v>60</v>
      </c>
    </row>
    <row r="40" spans="1:6">
      <c r="A40" s="25">
        <v>37</v>
      </c>
      <c r="B40" s="25" t="str">
        <f t="shared" si="0"/>
        <v>HQI250W 1防水型放電灯</v>
      </c>
      <c r="C40" s="72" t="s">
        <v>376</v>
      </c>
      <c r="D40" s="34">
        <v>1</v>
      </c>
      <c r="E40" s="71" t="s">
        <v>375</v>
      </c>
      <c r="F40" s="2">
        <v>290</v>
      </c>
    </row>
    <row r="41" spans="1:6">
      <c r="A41" s="25">
        <v>38</v>
      </c>
      <c r="B41" s="25" t="str">
        <f t="shared" si="0"/>
        <v>LW110V60W2ブラケット</v>
      </c>
      <c r="C41" s="72" t="s">
        <v>106</v>
      </c>
      <c r="D41" s="34">
        <v>2</v>
      </c>
      <c r="E41" s="71" t="s">
        <v>366</v>
      </c>
      <c r="F41" s="2">
        <v>120</v>
      </c>
    </row>
    <row r="42" spans="1:6">
      <c r="A42" s="25">
        <v>39</v>
      </c>
      <c r="B42" s="25" t="str">
        <f t="shared" si="0"/>
        <v>FDL27W1ダウンライト　φ150</v>
      </c>
      <c r="C42" s="72" t="s">
        <v>448</v>
      </c>
      <c r="D42" s="34">
        <v>1</v>
      </c>
      <c r="E42" s="71" t="s">
        <v>367</v>
      </c>
      <c r="F42" s="2">
        <v>34</v>
      </c>
    </row>
    <row r="43" spans="1:6">
      <c r="A43" s="25">
        <v>40</v>
      </c>
      <c r="B43" s="25" t="str">
        <f t="shared" si="0"/>
        <v>FPL28W2埋込　スクエア□275</v>
      </c>
      <c r="C43" s="72" t="s">
        <v>446</v>
      </c>
      <c r="D43" s="34">
        <v>2</v>
      </c>
      <c r="E43" s="71" t="s">
        <v>377</v>
      </c>
      <c r="F43" s="2">
        <v>31</v>
      </c>
    </row>
    <row r="44" spans="1:6">
      <c r="A44" s="25">
        <v>41</v>
      </c>
      <c r="B44" s="25" t="str">
        <f t="shared" si="0"/>
        <v>FPL28W2埋込　スクエア□275</v>
      </c>
      <c r="C44" s="72" t="s">
        <v>446</v>
      </c>
      <c r="D44" s="34">
        <v>2</v>
      </c>
      <c r="E44" s="71" t="s">
        <v>377</v>
      </c>
      <c r="F44" s="2">
        <v>62</v>
      </c>
    </row>
    <row r="45" spans="1:6">
      <c r="A45" s="25">
        <v>42</v>
      </c>
      <c r="B45" s="25" t="str">
        <f t="shared" si="0"/>
        <v>FHF32W1黒板灯　カバー付　W220</v>
      </c>
      <c r="C45" s="72" t="s">
        <v>111</v>
      </c>
      <c r="D45" s="34">
        <v>1</v>
      </c>
      <c r="E45" s="71" t="s">
        <v>115</v>
      </c>
      <c r="F45" s="2">
        <v>47</v>
      </c>
    </row>
    <row r="46" spans="1:6">
      <c r="A46" s="25">
        <v>43</v>
      </c>
      <c r="B46" s="25" t="str">
        <f t="shared" si="0"/>
        <v>IL50W1ダウンライト　φ75</v>
      </c>
      <c r="C46" s="72" t="s">
        <v>379</v>
      </c>
      <c r="D46" s="34">
        <v>1</v>
      </c>
      <c r="E46" s="71" t="s">
        <v>378</v>
      </c>
      <c r="F46" s="2">
        <v>50</v>
      </c>
    </row>
    <row r="47" spans="1:6">
      <c r="A47" s="25">
        <v>44</v>
      </c>
      <c r="B47" s="25" t="str">
        <f t="shared" si="0"/>
        <v>IL40W1埋込</v>
      </c>
      <c r="C47" s="72" t="s">
        <v>147</v>
      </c>
      <c r="D47" s="34">
        <v>1</v>
      </c>
      <c r="E47" s="71" t="s">
        <v>380</v>
      </c>
      <c r="F47" s="2">
        <v>40</v>
      </c>
    </row>
    <row r="48" spans="1:6">
      <c r="A48" s="25">
        <v>45</v>
      </c>
      <c r="B48" s="25" t="str">
        <f t="shared" si="0"/>
        <v>IL40W1埋込　電源別置</v>
      </c>
      <c r="C48" s="72" t="s">
        <v>147</v>
      </c>
      <c r="D48" s="34">
        <v>1</v>
      </c>
      <c r="E48" s="71" t="s">
        <v>382</v>
      </c>
      <c r="F48" s="2">
        <v>40</v>
      </c>
    </row>
    <row r="49" spans="1:6">
      <c r="A49" s="25">
        <v>46</v>
      </c>
      <c r="B49" s="25" t="str">
        <f t="shared" si="0"/>
        <v>FPL28W2埋込　スクエア□350</v>
      </c>
      <c r="C49" s="72" t="s">
        <v>446</v>
      </c>
      <c r="D49" s="34">
        <v>2</v>
      </c>
      <c r="E49" s="71" t="s">
        <v>360</v>
      </c>
      <c r="F49" s="2">
        <v>62</v>
      </c>
    </row>
    <row r="50" spans="1:6">
      <c r="A50" s="25">
        <v>47</v>
      </c>
      <c r="B50" s="25" t="str">
        <f t="shared" si="0"/>
        <v>KR60W1ダウンライト　φ125</v>
      </c>
      <c r="C50" s="72" t="s">
        <v>107</v>
      </c>
      <c r="D50" s="34">
        <v>1</v>
      </c>
      <c r="E50" s="71" t="s">
        <v>374</v>
      </c>
      <c r="F50" s="2">
        <v>54</v>
      </c>
    </row>
    <row r="51" spans="1:6">
      <c r="A51" s="25">
        <v>48</v>
      </c>
      <c r="B51" s="25" t="str">
        <f t="shared" si="0"/>
        <v>FHP23W2埋込　スクエア□350</v>
      </c>
      <c r="C51" s="72" t="s">
        <v>112</v>
      </c>
      <c r="D51" s="34">
        <v>2</v>
      </c>
      <c r="E51" s="71" t="s">
        <v>360</v>
      </c>
      <c r="F51" s="2">
        <v>23</v>
      </c>
    </row>
    <row r="52" spans="1:6">
      <c r="A52" s="25">
        <v>49</v>
      </c>
      <c r="B52" s="25" t="str">
        <f t="shared" si="0"/>
        <v>FL40W2逆富士　防湿型</v>
      </c>
      <c r="C52" s="72" t="s">
        <v>38</v>
      </c>
      <c r="D52" s="34">
        <v>2</v>
      </c>
      <c r="E52" s="71" t="s">
        <v>383</v>
      </c>
      <c r="F52" s="2">
        <v>94</v>
      </c>
    </row>
    <row r="53" spans="1:6">
      <c r="A53" s="25">
        <v>50</v>
      </c>
      <c r="B53" s="25" t="str">
        <f t="shared" si="0"/>
        <v>FL40W1埋込W300</v>
      </c>
      <c r="C53" s="72" t="s">
        <v>38</v>
      </c>
      <c r="D53" s="34">
        <v>1</v>
      </c>
      <c r="E53" s="71" t="s">
        <v>359</v>
      </c>
      <c r="F53" s="2">
        <v>47</v>
      </c>
    </row>
    <row r="54" spans="1:6">
      <c r="A54" s="25">
        <v>51</v>
      </c>
      <c r="B54" s="25" t="str">
        <f t="shared" si="0"/>
        <v>FL15W1ミラー灯</v>
      </c>
      <c r="C54" s="72" t="s">
        <v>194</v>
      </c>
      <c r="D54" s="34">
        <v>1</v>
      </c>
      <c r="E54" s="71" t="s">
        <v>412</v>
      </c>
      <c r="F54" s="2">
        <v>15</v>
      </c>
    </row>
    <row r="55" spans="1:6">
      <c r="A55" s="25">
        <v>52</v>
      </c>
      <c r="B55" s="25" t="str">
        <f t="shared" si="0"/>
        <v>LED1ダウンライト</v>
      </c>
      <c r="C55" s="72" t="s">
        <v>307</v>
      </c>
      <c r="D55" s="34">
        <v>1</v>
      </c>
      <c r="E55" s="71" t="s">
        <v>308</v>
      </c>
      <c r="F55" s="2">
        <v>10</v>
      </c>
    </row>
    <row r="56" spans="1:6">
      <c r="A56" s="25">
        <v>53</v>
      </c>
      <c r="B56" s="25" t="str">
        <f t="shared" si="0"/>
        <v>FL40SW ＋PIL100V40WS35E172埋込W220　非常照明付　電源別置</v>
      </c>
      <c r="C56" s="72" t="s">
        <v>39</v>
      </c>
      <c r="D56" s="34">
        <v>2</v>
      </c>
      <c r="E56" s="71" t="s">
        <v>384</v>
      </c>
      <c r="F56" s="2">
        <v>94</v>
      </c>
    </row>
    <row r="57" spans="1:6">
      <c r="A57" s="25">
        <v>54</v>
      </c>
      <c r="B57" s="25" t="str">
        <f t="shared" si="0"/>
        <v>IL100W1ダウンライト　φ150</v>
      </c>
      <c r="C57" s="72" t="s">
        <v>385</v>
      </c>
      <c r="D57" s="34">
        <v>1</v>
      </c>
      <c r="E57" s="71" t="s">
        <v>367</v>
      </c>
      <c r="F57" s="2">
        <v>100</v>
      </c>
    </row>
    <row r="58" spans="1:6">
      <c r="A58" s="25">
        <v>55</v>
      </c>
      <c r="B58" s="25" t="str">
        <f t="shared" si="0"/>
        <v>FL40W2逆富士　非常照明　電源別置</v>
      </c>
      <c r="C58" s="72" t="s">
        <v>38</v>
      </c>
      <c r="D58" s="34">
        <v>2</v>
      </c>
      <c r="E58" s="71" t="s">
        <v>387</v>
      </c>
      <c r="F58" s="2">
        <v>94</v>
      </c>
    </row>
    <row r="59" spans="1:6">
      <c r="A59" s="25">
        <v>56</v>
      </c>
      <c r="B59" s="25" t="str">
        <f t="shared" si="0"/>
        <v>FPL55W4埋込　スクエア□600</v>
      </c>
      <c r="C59" s="72" t="s">
        <v>449</v>
      </c>
      <c r="D59" s="34">
        <v>4</v>
      </c>
      <c r="E59" s="71" t="s">
        <v>388</v>
      </c>
      <c r="F59" s="2">
        <v>220</v>
      </c>
    </row>
    <row r="60" spans="1:6">
      <c r="A60" s="25">
        <v>57</v>
      </c>
      <c r="B60" s="25" t="str">
        <f t="shared" si="0"/>
        <v>FDL18W1ダウンライト　角形□150</v>
      </c>
      <c r="C60" s="72" t="s">
        <v>340</v>
      </c>
      <c r="D60" s="34">
        <v>1</v>
      </c>
      <c r="E60" s="71" t="s">
        <v>389</v>
      </c>
      <c r="F60" s="2">
        <v>22</v>
      </c>
    </row>
    <row r="61" spans="1:6">
      <c r="A61" s="25">
        <v>58</v>
      </c>
      <c r="B61" s="25" t="str">
        <f t="shared" si="0"/>
        <v>FL40SW ＋PIL100V40WS35E172埋込W300</v>
      </c>
      <c r="C61" s="72" t="s">
        <v>39</v>
      </c>
      <c r="D61" s="34">
        <v>2</v>
      </c>
      <c r="E61" s="71" t="s">
        <v>359</v>
      </c>
      <c r="F61" s="2">
        <v>94</v>
      </c>
    </row>
    <row r="62" spans="1:6">
      <c r="A62" s="25">
        <v>59</v>
      </c>
      <c r="B62" s="25" t="str">
        <f t="shared" si="0"/>
        <v>IL60W1ダウンライト　φ125</v>
      </c>
      <c r="C62" s="72" t="s">
        <v>390</v>
      </c>
      <c r="D62" s="34">
        <v>1</v>
      </c>
      <c r="E62" s="71" t="s">
        <v>374</v>
      </c>
      <c r="F62" s="2">
        <v>60</v>
      </c>
    </row>
    <row r="63" spans="1:6">
      <c r="A63" s="25">
        <v>60</v>
      </c>
      <c r="B63" s="25" t="str">
        <f t="shared" si="0"/>
        <v>LED1埋込 W300</v>
      </c>
      <c r="C63" s="72" t="s">
        <v>307</v>
      </c>
      <c r="D63" s="34">
        <v>1</v>
      </c>
      <c r="E63" s="71" t="s">
        <v>309</v>
      </c>
      <c r="F63" s="2">
        <v>20</v>
      </c>
    </row>
    <row r="64" spans="1:6">
      <c r="A64" s="25">
        <v>61</v>
      </c>
      <c r="B64" s="25" t="str">
        <f t="shared" si="0"/>
        <v>FL20W1棚下灯</v>
      </c>
      <c r="C64" s="72" t="s">
        <v>40</v>
      </c>
      <c r="D64" s="34">
        <v>1</v>
      </c>
      <c r="E64" s="71" t="s">
        <v>391</v>
      </c>
      <c r="F64" s="2">
        <v>22</v>
      </c>
    </row>
    <row r="65" spans="1:6">
      <c r="A65" s="25">
        <v>62</v>
      </c>
      <c r="B65" s="25" t="str">
        <f t="shared" si="0"/>
        <v>HF70W1ダウンライト　φ200</v>
      </c>
      <c r="C65" s="72" t="s">
        <v>450</v>
      </c>
      <c r="D65" s="34">
        <v>1</v>
      </c>
      <c r="E65" s="71" t="s">
        <v>392</v>
      </c>
      <c r="F65" s="2">
        <v>77</v>
      </c>
    </row>
    <row r="66" spans="1:6">
      <c r="A66" s="25">
        <v>63</v>
      </c>
      <c r="B66" s="25" t="str">
        <f t="shared" si="0"/>
        <v>FPL28W2埋込　スクエア□350</v>
      </c>
      <c r="C66" s="72" t="s">
        <v>446</v>
      </c>
      <c r="D66" s="34">
        <v>2</v>
      </c>
      <c r="E66" s="71" t="s">
        <v>360</v>
      </c>
      <c r="F66" s="2">
        <v>94</v>
      </c>
    </row>
    <row r="67" spans="1:6">
      <c r="A67" s="25">
        <v>64</v>
      </c>
      <c r="B67" s="25" t="str">
        <f t="shared" si="0"/>
        <v>FL20W2埋込W300</v>
      </c>
      <c r="C67" s="72" t="s">
        <v>40</v>
      </c>
      <c r="D67" s="34">
        <v>2</v>
      </c>
      <c r="E67" s="71" t="s">
        <v>359</v>
      </c>
      <c r="F67" s="2">
        <v>44</v>
      </c>
    </row>
    <row r="68" spans="1:6">
      <c r="A68" s="25">
        <v>65</v>
      </c>
      <c r="B68" s="25" t="str">
        <f t="shared" ref="B68:B131" si="1">C68&amp;D68&amp;E68</f>
        <v>IL40W1直付白熱灯</v>
      </c>
      <c r="C68" s="72" t="s">
        <v>284</v>
      </c>
      <c r="D68" s="34">
        <v>1</v>
      </c>
      <c r="E68" s="71" t="s">
        <v>285</v>
      </c>
      <c r="F68" s="2">
        <v>40</v>
      </c>
    </row>
    <row r="69" spans="1:6">
      <c r="A69" s="25">
        <v>66</v>
      </c>
      <c r="B69" s="25" t="str">
        <f t="shared" si="1"/>
        <v>FL40W2避難口誘導灯</v>
      </c>
      <c r="C69" s="72" t="s">
        <v>38</v>
      </c>
      <c r="D69" s="34">
        <v>2</v>
      </c>
      <c r="E69" s="71" t="s">
        <v>320</v>
      </c>
      <c r="F69" s="2">
        <v>94</v>
      </c>
    </row>
    <row r="70" spans="1:6">
      <c r="A70" s="25">
        <v>67</v>
      </c>
      <c r="B70" s="25" t="str">
        <f t="shared" si="1"/>
        <v>FL40W2避難口誘導灯(音声＋点滅)</v>
      </c>
      <c r="C70" s="72" t="s">
        <v>38</v>
      </c>
      <c r="D70" s="34">
        <v>2</v>
      </c>
      <c r="E70" s="71" t="s">
        <v>336</v>
      </c>
      <c r="F70" s="2">
        <v>94</v>
      </c>
    </row>
    <row r="71" spans="1:6">
      <c r="A71" s="25">
        <v>68</v>
      </c>
      <c r="B71" s="25" t="str">
        <f t="shared" si="1"/>
        <v>LED1避難口誘導灯　FA40337</v>
      </c>
      <c r="C71" s="72" t="s">
        <v>307</v>
      </c>
      <c r="D71" s="34">
        <v>1</v>
      </c>
      <c r="E71" s="71" t="s">
        <v>337</v>
      </c>
      <c r="F71" s="2">
        <v>4</v>
      </c>
    </row>
    <row r="72" spans="1:6">
      <c r="A72" s="25">
        <v>69</v>
      </c>
      <c r="B72" s="25" t="str">
        <f t="shared" si="1"/>
        <v>FL10W1通路誘導灯</v>
      </c>
      <c r="C72" s="72" t="s">
        <v>110</v>
      </c>
      <c r="D72" s="34">
        <v>1</v>
      </c>
      <c r="E72" s="71" t="s">
        <v>338</v>
      </c>
      <c r="F72" s="2">
        <v>10</v>
      </c>
    </row>
    <row r="73" spans="1:6">
      <c r="A73" s="25">
        <v>70</v>
      </c>
      <c r="B73" s="25" t="str">
        <f t="shared" si="1"/>
        <v>FL20W1通路誘導灯</v>
      </c>
      <c r="C73" s="72" t="s">
        <v>315</v>
      </c>
      <c r="D73" s="34">
        <v>1</v>
      </c>
      <c r="E73" s="71" t="s">
        <v>322</v>
      </c>
      <c r="F73" s="2">
        <v>22</v>
      </c>
    </row>
    <row r="74" spans="1:6">
      <c r="A74" s="25">
        <v>71</v>
      </c>
      <c r="B74" s="25" t="str">
        <f t="shared" si="1"/>
        <v>FL32W1避難口誘導灯</v>
      </c>
      <c r="C74" s="72" t="s">
        <v>109</v>
      </c>
      <c r="D74" s="34">
        <v>1</v>
      </c>
      <c r="E74" s="71" t="s">
        <v>339</v>
      </c>
      <c r="F74" s="2">
        <v>32</v>
      </c>
    </row>
    <row r="75" spans="1:6">
      <c r="A75" s="25">
        <v>72</v>
      </c>
      <c r="B75" s="25" t="str">
        <f t="shared" si="1"/>
        <v>IL40W1非常灯　電源別置　WP</v>
      </c>
      <c r="C75" s="72" t="s">
        <v>284</v>
      </c>
      <c r="D75" s="34">
        <v>1</v>
      </c>
      <c r="E75" s="71" t="s">
        <v>287</v>
      </c>
      <c r="F75" s="2">
        <v>40</v>
      </c>
    </row>
    <row r="76" spans="1:6">
      <c r="A76" s="25">
        <v>73</v>
      </c>
      <c r="B76" s="25" t="str">
        <f t="shared" si="1"/>
        <v>FLR40W1階段灯　非常灯兼用　電池内蔵</v>
      </c>
      <c r="C76" s="72" t="s">
        <v>105</v>
      </c>
      <c r="D76" s="34">
        <v>1</v>
      </c>
      <c r="E76" s="71" t="s">
        <v>250</v>
      </c>
      <c r="F76" s="2">
        <v>44</v>
      </c>
    </row>
    <row r="77" spans="1:6">
      <c r="A77" s="25">
        <v>74</v>
      </c>
      <c r="B77" s="25" t="str">
        <f t="shared" si="1"/>
        <v>FL40SW ＋PIL100V40WS35E172埋込W300　非常照明　電源別置</v>
      </c>
      <c r="C77" s="72" t="s">
        <v>293</v>
      </c>
      <c r="D77" s="34">
        <v>2</v>
      </c>
      <c r="E77" s="71" t="s">
        <v>393</v>
      </c>
      <c r="F77" s="2">
        <v>94</v>
      </c>
    </row>
    <row r="78" spans="1:6">
      <c r="A78" s="25">
        <v>75</v>
      </c>
      <c r="B78" s="25" t="str">
        <f t="shared" si="1"/>
        <v>FL40W1片反射</v>
      </c>
      <c r="C78" s="72" t="s">
        <v>38</v>
      </c>
      <c r="D78" s="34">
        <v>1</v>
      </c>
      <c r="E78" s="71" t="s">
        <v>373</v>
      </c>
      <c r="F78" s="2">
        <v>47</v>
      </c>
    </row>
    <row r="79" spans="1:6">
      <c r="A79" s="25">
        <v>76</v>
      </c>
      <c r="B79" s="25" t="str">
        <f t="shared" si="1"/>
        <v>FPL36W3埋込　スクエア□450</v>
      </c>
      <c r="C79" s="72" t="s">
        <v>451</v>
      </c>
      <c r="D79" s="34">
        <v>3</v>
      </c>
      <c r="E79" s="71" t="s">
        <v>397</v>
      </c>
      <c r="F79" s="2">
        <v>136</v>
      </c>
    </row>
    <row r="80" spans="1:6">
      <c r="A80" s="25">
        <v>77</v>
      </c>
      <c r="B80" s="25" t="str">
        <f t="shared" si="1"/>
        <v>HQI250W1埋込　φ420　電動昇降式</v>
      </c>
      <c r="C80" s="72" t="s">
        <v>452</v>
      </c>
      <c r="D80" s="34">
        <v>1</v>
      </c>
      <c r="E80" s="71" t="s">
        <v>398</v>
      </c>
      <c r="F80" s="2">
        <v>290</v>
      </c>
    </row>
    <row r="81" spans="1:6">
      <c r="A81" s="25">
        <v>78</v>
      </c>
      <c r="B81" s="25" t="str">
        <f t="shared" si="1"/>
        <v>FL40W2笠付　パイプ吊</v>
      </c>
      <c r="C81" s="72" t="s">
        <v>38</v>
      </c>
      <c r="D81" s="34">
        <v>2</v>
      </c>
      <c r="E81" s="71" t="s">
        <v>399</v>
      </c>
      <c r="F81" s="2">
        <v>94</v>
      </c>
    </row>
    <row r="82" spans="1:6">
      <c r="A82" s="25">
        <v>79</v>
      </c>
      <c r="B82" s="25" t="str">
        <f t="shared" si="1"/>
        <v>FL40W1片反射　ガード付</v>
      </c>
      <c r="C82" s="72" t="s">
        <v>38</v>
      </c>
      <c r="D82" s="34">
        <v>1</v>
      </c>
      <c r="E82" s="71" t="s">
        <v>400</v>
      </c>
      <c r="F82" s="2">
        <v>47</v>
      </c>
    </row>
    <row r="83" spans="1:6">
      <c r="A83" s="25">
        <v>80</v>
      </c>
      <c r="B83" s="25" t="str">
        <f t="shared" si="1"/>
        <v>FL20W1流し元灯</v>
      </c>
      <c r="C83" s="72" t="s">
        <v>40</v>
      </c>
      <c r="D83" s="34">
        <v>1</v>
      </c>
      <c r="E83" s="71" t="s">
        <v>402</v>
      </c>
      <c r="F83" s="2">
        <v>22</v>
      </c>
    </row>
    <row r="84" spans="1:6">
      <c r="A84" s="25">
        <v>81</v>
      </c>
      <c r="B84" s="25" t="str">
        <f t="shared" si="1"/>
        <v>FPL18W1ダウンライト　φ150</v>
      </c>
      <c r="C84" s="72" t="s">
        <v>146</v>
      </c>
      <c r="D84" s="34">
        <v>1</v>
      </c>
      <c r="E84" s="71" t="s">
        <v>367</v>
      </c>
      <c r="F84" s="2">
        <v>20</v>
      </c>
    </row>
    <row r="85" spans="1:6">
      <c r="A85" s="25">
        <v>82</v>
      </c>
      <c r="B85" s="25" t="str">
        <f t="shared" si="1"/>
        <v>FL20W1埋込W190</v>
      </c>
      <c r="C85" s="72" t="s">
        <v>40</v>
      </c>
      <c r="D85" s="34">
        <v>1</v>
      </c>
      <c r="E85" s="71" t="s">
        <v>403</v>
      </c>
      <c r="F85" s="2">
        <v>22</v>
      </c>
    </row>
    <row r="86" spans="1:6">
      <c r="A86" s="25">
        <v>83</v>
      </c>
      <c r="B86" s="25" t="str">
        <f t="shared" si="1"/>
        <v>FL40W4埋込W600</v>
      </c>
      <c r="C86" s="72" t="s">
        <v>38</v>
      </c>
      <c r="D86" s="34">
        <v>4</v>
      </c>
      <c r="E86" s="71" t="s">
        <v>404</v>
      </c>
      <c r="F86" s="2">
        <v>188</v>
      </c>
    </row>
    <row r="87" spans="1:6">
      <c r="A87" s="25">
        <v>84</v>
      </c>
      <c r="B87" s="25" t="str">
        <f t="shared" si="1"/>
        <v>FL40W4埋込W600　非常照明　電源別置</v>
      </c>
      <c r="C87" s="72" t="s">
        <v>38</v>
      </c>
      <c r="D87" s="34">
        <v>4</v>
      </c>
      <c r="E87" s="71" t="s">
        <v>405</v>
      </c>
      <c r="F87" s="2">
        <v>188</v>
      </c>
    </row>
    <row r="88" spans="1:6">
      <c r="A88" s="25">
        <v>85</v>
      </c>
      <c r="B88" s="25" t="str">
        <f t="shared" si="1"/>
        <v>FL40W2ブラケット　WP</v>
      </c>
      <c r="C88" s="72" t="s">
        <v>38</v>
      </c>
      <c r="D88" s="34">
        <v>2</v>
      </c>
      <c r="E88" s="71" t="s">
        <v>406</v>
      </c>
      <c r="F88" s="2">
        <v>94</v>
      </c>
    </row>
    <row r="89" spans="1:6">
      <c r="A89" s="25">
        <v>86</v>
      </c>
      <c r="B89" s="25" t="str">
        <f t="shared" si="1"/>
        <v>LED1避難表示灯</v>
      </c>
      <c r="C89" s="72" t="s">
        <v>307</v>
      </c>
      <c r="D89" s="34">
        <v>1</v>
      </c>
      <c r="E89" s="71" t="s">
        <v>326</v>
      </c>
      <c r="F89" s="2">
        <v>4</v>
      </c>
    </row>
    <row r="90" spans="1:6">
      <c r="A90" s="25">
        <v>87</v>
      </c>
      <c r="B90" s="25" t="str">
        <f t="shared" si="1"/>
        <v>IL60W1非常灯　電源別置　φ200</v>
      </c>
      <c r="C90" s="72" t="s">
        <v>390</v>
      </c>
      <c r="D90" s="34">
        <v>1</v>
      </c>
      <c r="E90" s="71" t="s">
        <v>303</v>
      </c>
      <c r="F90" s="2">
        <v>60</v>
      </c>
    </row>
    <row r="91" spans="1:6">
      <c r="A91" s="25">
        <v>88</v>
      </c>
      <c r="B91" s="25" t="str">
        <f t="shared" si="1"/>
        <v>FDL55W2埋込　スクエア□350 和風</v>
      </c>
      <c r="C91" s="72" t="s">
        <v>453</v>
      </c>
      <c r="D91" s="34">
        <v>2</v>
      </c>
      <c r="E91" s="71" t="s">
        <v>407</v>
      </c>
      <c r="F91" s="2">
        <v>55</v>
      </c>
    </row>
    <row r="92" spans="1:6">
      <c r="A92" s="25">
        <v>89</v>
      </c>
      <c r="B92" s="25" t="str">
        <f t="shared" si="1"/>
        <v>FDL18W1埋込　スクエア□150 和風</v>
      </c>
      <c r="C92" s="72" t="s">
        <v>340</v>
      </c>
      <c r="D92" s="34">
        <v>1</v>
      </c>
      <c r="E92" s="71" t="s">
        <v>408</v>
      </c>
      <c r="F92" s="2">
        <v>22</v>
      </c>
    </row>
    <row r="93" spans="1:6">
      <c r="A93" s="25">
        <v>90</v>
      </c>
      <c r="B93" s="25" t="str">
        <f t="shared" si="1"/>
        <v>FDL18EX-N1埋込　スクエア□150 和風</v>
      </c>
      <c r="C93" s="72" t="s">
        <v>104</v>
      </c>
      <c r="D93" s="34">
        <v>1</v>
      </c>
      <c r="E93" s="71" t="s">
        <v>408</v>
      </c>
      <c r="F93" s="2">
        <v>22</v>
      </c>
    </row>
    <row r="94" spans="1:6">
      <c r="A94" s="25">
        <v>91</v>
      </c>
      <c r="B94" s="25" t="str">
        <f t="shared" si="1"/>
        <v>FPL36EX-N/24埋込　スクエア□450</v>
      </c>
      <c r="C94" s="72" t="s">
        <v>145</v>
      </c>
      <c r="D94" s="34">
        <v>4</v>
      </c>
      <c r="E94" s="71" t="s">
        <v>397</v>
      </c>
      <c r="F94" s="2">
        <v>184</v>
      </c>
    </row>
    <row r="95" spans="1:6">
      <c r="A95" s="25">
        <v>92</v>
      </c>
      <c r="B95" s="25" t="str">
        <f t="shared" si="1"/>
        <v>LED2直管LED　埋込W300</v>
      </c>
      <c r="C95" s="72" t="s">
        <v>328</v>
      </c>
      <c r="D95" s="34">
        <v>2</v>
      </c>
      <c r="E95" s="71" t="s">
        <v>329</v>
      </c>
      <c r="F95" s="2">
        <v>40</v>
      </c>
    </row>
    <row r="96" spans="1:6">
      <c r="A96" s="25">
        <v>93</v>
      </c>
      <c r="B96" s="25" t="str">
        <f t="shared" si="1"/>
        <v>LED ＋PIL100V40WS35E172直管LED　埋込W300</v>
      </c>
      <c r="C96" s="72" t="s">
        <v>330</v>
      </c>
      <c r="D96" s="34">
        <v>2</v>
      </c>
      <c r="E96" s="71" t="s">
        <v>329</v>
      </c>
      <c r="F96" s="2">
        <v>40</v>
      </c>
    </row>
    <row r="97" spans="1:6">
      <c r="A97" s="25">
        <v>94</v>
      </c>
      <c r="B97" s="25" t="str">
        <f t="shared" si="1"/>
        <v>FL20W1ブラケット</v>
      </c>
      <c r="C97" s="72" t="s">
        <v>40</v>
      </c>
      <c r="D97" s="34">
        <v>1</v>
      </c>
      <c r="E97" s="71" t="s">
        <v>372</v>
      </c>
      <c r="F97" s="2">
        <v>20</v>
      </c>
    </row>
    <row r="98" spans="1:6">
      <c r="A98" s="25">
        <v>95</v>
      </c>
      <c r="B98" s="25" t="str">
        <f t="shared" si="1"/>
        <v>LED2直管LED　埋込W200</v>
      </c>
      <c r="C98" s="72" t="s">
        <v>328</v>
      </c>
      <c r="D98" s="34">
        <v>2</v>
      </c>
      <c r="E98" s="71" t="s">
        <v>331</v>
      </c>
      <c r="F98" s="2">
        <v>40</v>
      </c>
    </row>
    <row r="99" spans="1:6">
      <c r="A99" s="25">
        <v>96</v>
      </c>
      <c r="B99" s="25" t="str">
        <f t="shared" si="1"/>
        <v>LED ＋PIL100V40WS35E172直管LED　埋込W200</v>
      </c>
      <c r="C99" s="72" t="s">
        <v>330</v>
      </c>
      <c r="D99" s="34">
        <v>2</v>
      </c>
      <c r="E99" s="71" t="s">
        <v>331</v>
      </c>
      <c r="F99" s="2">
        <v>40</v>
      </c>
    </row>
    <row r="100" spans="1:6">
      <c r="A100" s="25">
        <v>97</v>
      </c>
      <c r="B100" s="25" t="str">
        <f t="shared" si="1"/>
        <v>FL20W ＋PIL100V40WS35E172埋込W300　非常照明　電源別置</v>
      </c>
      <c r="C100" s="72" t="s">
        <v>332</v>
      </c>
      <c r="D100" s="34">
        <v>2</v>
      </c>
      <c r="E100" s="71" t="s">
        <v>393</v>
      </c>
      <c r="F100" s="2">
        <v>44</v>
      </c>
    </row>
    <row r="101" spans="1:6">
      <c r="A101" s="25">
        <v>98</v>
      </c>
      <c r="B101" s="25" t="str">
        <f t="shared" si="1"/>
        <v>FL40SW2埋込W220</v>
      </c>
      <c r="C101" s="72" t="s">
        <v>290</v>
      </c>
      <c r="D101" s="34">
        <v>2</v>
      </c>
      <c r="E101" s="71" t="s">
        <v>409</v>
      </c>
      <c r="F101" s="2">
        <v>94</v>
      </c>
    </row>
    <row r="102" spans="1:6">
      <c r="A102" s="25">
        <v>99</v>
      </c>
      <c r="B102" s="25" t="str">
        <f t="shared" si="1"/>
        <v>FPL28EXN 2埋込　スクエア□350</v>
      </c>
      <c r="C102" s="72" t="s">
        <v>41</v>
      </c>
      <c r="D102" s="34">
        <v>2</v>
      </c>
      <c r="E102" s="71" t="s">
        <v>360</v>
      </c>
      <c r="F102" s="2">
        <v>33</v>
      </c>
    </row>
    <row r="103" spans="1:6">
      <c r="A103" s="25">
        <v>100</v>
      </c>
      <c r="B103" s="25" t="str">
        <f t="shared" si="1"/>
        <v>FDL18EX-N1ダウンライト　φ150</v>
      </c>
      <c r="C103" s="72" t="s">
        <v>104</v>
      </c>
      <c r="D103" s="34">
        <v>1</v>
      </c>
      <c r="E103" s="71" t="s">
        <v>367</v>
      </c>
      <c r="F103" s="2">
        <v>22</v>
      </c>
    </row>
    <row r="104" spans="1:6">
      <c r="A104" s="25">
        <v>101</v>
      </c>
      <c r="B104" s="25" t="str">
        <f t="shared" si="1"/>
        <v>FL40W3埋込W450</v>
      </c>
      <c r="C104" s="72" t="s">
        <v>38</v>
      </c>
      <c r="D104" s="34">
        <v>3</v>
      </c>
      <c r="E104" s="71" t="s">
        <v>410</v>
      </c>
      <c r="F104" s="2">
        <v>141</v>
      </c>
    </row>
    <row r="105" spans="1:6">
      <c r="A105" s="25">
        <v>102</v>
      </c>
      <c r="B105" s="25" t="str">
        <f t="shared" si="1"/>
        <v>LED2直管LED　埋込</v>
      </c>
      <c r="C105" s="72" t="s">
        <v>328</v>
      </c>
      <c r="D105" s="34">
        <v>2</v>
      </c>
      <c r="E105" s="71" t="s">
        <v>333</v>
      </c>
      <c r="F105" s="2">
        <v>40</v>
      </c>
    </row>
    <row r="106" spans="1:6">
      <c r="A106" s="25">
        <v>103</v>
      </c>
      <c r="B106" s="25" t="str">
        <f t="shared" si="1"/>
        <v>LED ＋PIL100V40WS35E172直管LED　埋込</v>
      </c>
      <c r="C106" s="72" t="s">
        <v>330</v>
      </c>
      <c r="D106" s="34">
        <v>2</v>
      </c>
      <c r="E106" s="71" t="s">
        <v>333</v>
      </c>
      <c r="F106" s="2">
        <v>40</v>
      </c>
    </row>
    <row r="107" spans="1:6">
      <c r="A107" s="25">
        <v>104</v>
      </c>
      <c r="B107" s="25" t="str">
        <f t="shared" si="1"/>
        <v>HF70 1埋込　φ200</v>
      </c>
      <c r="C107" s="72" t="s">
        <v>114</v>
      </c>
      <c r="D107" s="34">
        <v>1</v>
      </c>
      <c r="E107" s="71" t="s">
        <v>411</v>
      </c>
      <c r="F107" s="2">
        <v>77</v>
      </c>
    </row>
    <row r="108" spans="1:6">
      <c r="A108" s="25">
        <v>105</v>
      </c>
      <c r="B108" s="25" t="str">
        <f t="shared" si="1"/>
        <v>FPL28EXN 2埋込　スクエア□350</v>
      </c>
      <c r="C108" s="72" t="s">
        <v>41</v>
      </c>
      <c r="D108" s="34">
        <v>2</v>
      </c>
      <c r="E108" s="71" t="s">
        <v>360</v>
      </c>
      <c r="F108" s="2">
        <v>31</v>
      </c>
    </row>
    <row r="109" spans="1:6">
      <c r="A109" s="25">
        <v>106</v>
      </c>
      <c r="B109" s="25" t="str">
        <f t="shared" si="1"/>
        <v>FPL36EX-N/23埋込　スクエア□450</v>
      </c>
      <c r="C109" s="72" t="s">
        <v>145</v>
      </c>
      <c r="D109" s="34">
        <v>3</v>
      </c>
      <c r="E109" s="71" t="s">
        <v>397</v>
      </c>
      <c r="F109" s="2">
        <v>136</v>
      </c>
    </row>
    <row r="110" spans="1:6">
      <c r="A110" s="25">
        <v>107</v>
      </c>
      <c r="B110" s="25" t="str">
        <f t="shared" si="1"/>
        <v>LED1避難表示灯　FA20380</v>
      </c>
      <c r="C110" s="72" t="s">
        <v>328</v>
      </c>
      <c r="D110" s="34">
        <v>1</v>
      </c>
      <c r="E110" s="71" t="s">
        <v>335</v>
      </c>
      <c r="F110" s="40">
        <v>2.6</v>
      </c>
    </row>
    <row r="111" spans="1:6">
      <c r="A111" s="25">
        <v>108</v>
      </c>
      <c r="B111" s="25" t="str">
        <f t="shared" si="1"/>
        <v>FL20W1避難口誘導灯</v>
      </c>
      <c r="C111" s="72" t="s">
        <v>40</v>
      </c>
      <c r="D111" s="34">
        <v>1</v>
      </c>
      <c r="E111" s="71" t="s">
        <v>320</v>
      </c>
      <c r="F111" s="2">
        <v>94</v>
      </c>
    </row>
    <row r="112" spans="1:6">
      <c r="A112" s="25">
        <v>109</v>
      </c>
      <c r="B112" s="25" t="str">
        <f t="shared" si="1"/>
        <v>FLR110W1埋込W220</v>
      </c>
      <c r="C112" s="72" t="s">
        <v>193</v>
      </c>
      <c r="D112" s="34">
        <v>1</v>
      </c>
      <c r="E112" s="71" t="s">
        <v>371</v>
      </c>
      <c r="F112" s="2">
        <v>117</v>
      </c>
    </row>
    <row r="113" spans="1:6">
      <c r="A113" s="25">
        <v>110</v>
      </c>
      <c r="B113" s="25" t="str">
        <f t="shared" si="1"/>
        <v>FDL27EX-N1ダウンライト　□250</v>
      </c>
      <c r="C113" s="72" t="s">
        <v>108</v>
      </c>
      <c r="D113" s="34">
        <v>1</v>
      </c>
      <c r="E113" s="71" t="s">
        <v>414</v>
      </c>
      <c r="F113" s="2">
        <v>34</v>
      </c>
    </row>
    <row r="114" spans="1:6">
      <c r="A114" s="25">
        <v>111</v>
      </c>
      <c r="B114" s="25" t="str">
        <f t="shared" si="1"/>
        <v>FDL18W1ダウンライト　埋込型蛍光灯</v>
      </c>
      <c r="C114" s="72" t="s">
        <v>340</v>
      </c>
      <c r="D114" s="34">
        <v>1</v>
      </c>
      <c r="E114" s="71" t="s">
        <v>415</v>
      </c>
      <c r="F114" s="2">
        <v>22</v>
      </c>
    </row>
    <row r="115" spans="1:6">
      <c r="A115" s="25">
        <v>112</v>
      </c>
      <c r="B115" s="25" t="str">
        <f t="shared" si="1"/>
        <v>ﾐﾆﾊﾛｹﾞﾝ85W1ｽﾎﾟｯﾄﾗｲﾄ　ﾗｲﾃｨﾝｸﾞﾚｰﾙ用</v>
      </c>
      <c r="C115" s="72" t="s">
        <v>416</v>
      </c>
      <c r="D115" s="34">
        <v>1</v>
      </c>
      <c r="E115" s="71" t="s">
        <v>417</v>
      </c>
      <c r="F115" s="2">
        <v>85</v>
      </c>
    </row>
    <row r="116" spans="1:6">
      <c r="A116" s="25">
        <v>113</v>
      </c>
      <c r="B116" s="25" t="str">
        <f t="shared" si="1"/>
        <v>FPL55EX-N/22埋込　スクエア□350</v>
      </c>
      <c r="C116" s="72" t="s">
        <v>113</v>
      </c>
      <c r="D116" s="34">
        <v>2</v>
      </c>
      <c r="E116" s="71" t="s">
        <v>360</v>
      </c>
      <c r="F116" s="2">
        <v>110</v>
      </c>
    </row>
    <row r="117" spans="1:6">
      <c r="A117" s="25">
        <v>114</v>
      </c>
      <c r="B117" s="25" t="str">
        <f t="shared" si="1"/>
        <v>FL20W2流し元灯</v>
      </c>
      <c r="C117" s="72" t="s">
        <v>40</v>
      </c>
      <c r="D117" s="34">
        <v>2</v>
      </c>
      <c r="E117" s="71" t="s">
        <v>402</v>
      </c>
      <c r="F117" s="2">
        <v>22</v>
      </c>
    </row>
    <row r="118" spans="1:6">
      <c r="A118" s="25">
        <v>115</v>
      </c>
      <c r="B118" s="25" t="str">
        <f t="shared" si="1"/>
        <v>HF70 1ダウンライト　φ200</v>
      </c>
      <c r="C118" s="72" t="s">
        <v>114</v>
      </c>
      <c r="D118" s="34">
        <v>1</v>
      </c>
      <c r="E118" s="71" t="s">
        <v>392</v>
      </c>
      <c r="F118" s="2">
        <v>77</v>
      </c>
    </row>
    <row r="119" spans="1:6">
      <c r="A119" s="25">
        <v>116</v>
      </c>
      <c r="B119" s="25" t="str">
        <f t="shared" si="1"/>
        <v>FLR110W2埋込W300</v>
      </c>
      <c r="C119" s="72" t="s">
        <v>193</v>
      </c>
      <c r="D119" s="34">
        <v>2</v>
      </c>
      <c r="E119" s="71" t="s">
        <v>359</v>
      </c>
      <c r="F119" s="2">
        <v>225</v>
      </c>
    </row>
    <row r="120" spans="1:6">
      <c r="A120" s="25">
        <v>117</v>
      </c>
      <c r="B120" s="25" t="str">
        <f t="shared" si="1"/>
        <v>FPL28EXN 2埋込　スクエア□350</v>
      </c>
      <c r="C120" s="72" t="s">
        <v>41</v>
      </c>
      <c r="D120" s="34">
        <v>2</v>
      </c>
      <c r="E120" s="71" t="s">
        <v>360</v>
      </c>
      <c r="F120" s="2">
        <v>62</v>
      </c>
    </row>
    <row r="121" spans="1:6">
      <c r="A121" s="25">
        <v>118</v>
      </c>
      <c r="B121" s="25" t="str">
        <f t="shared" si="1"/>
        <v>FL10W1通路誘導灯</v>
      </c>
      <c r="C121" s="72" t="s">
        <v>249</v>
      </c>
      <c r="D121" s="34">
        <v>1</v>
      </c>
      <c r="E121" s="71" t="s">
        <v>322</v>
      </c>
      <c r="F121" s="2">
        <v>11</v>
      </c>
    </row>
    <row r="122" spans="1:6">
      <c r="A122" s="25">
        <v>119</v>
      </c>
      <c r="B122" s="25" t="str">
        <f t="shared" si="1"/>
        <v>CF3W1避難口誘導灯　音声＋点滅</v>
      </c>
      <c r="C122" s="72" t="s">
        <v>346</v>
      </c>
      <c r="D122" s="34">
        <v>1</v>
      </c>
      <c r="E122" s="71" t="s">
        <v>347</v>
      </c>
      <c r="F122" s="41">
        <v>8.5</v>
      </c>
    </row>
    <row r="123" spans="1:6">
      <c r="A123" s="25">
        <v>120</v>
      </c>
      <c r="B123" s="25" t="str">
        <f t="shared" si="1"/>
        <v>FL10W1避難表示灯</v>
      </c>
      <c r="C123" s="72" t="s">
        <v>249</v>
      </c>
      <c r="D123" s="34">
        <v>1</v>
      </c>
      <c r="E123" s="71" t="s">
        <v>348</v>
      </c>
      <c r="F123" s="2">
        <v>11</v>
      </c>
    </row>
    <row r="124" spans="1:6">
      <c r="A124" s="25">
        <v>121</v>
      </c>
      <c r="B124" s="25" t="str">
        <f t="shared" si="1"/>
        <v>FL40W2避難口誘導灯　音声＋点滅</v>
      </c>
      <c r="C124" s="72" t="s">
        <v>264</v>
      </c>
      <c r="D124" s="34">
        <v>2</v>
      </c>
      <c r="E124" s="71" t="s">
        <v>347</v>
      </c>
      <c r="F124" s="2">
        <v>94</v>
      </c>
    </row>
    <row r="125" spans="1:6">
      <c r="A125" s="25">
        <v>122</v>
      </c>
      <c r="B125" s="25" t="str">
        <f t="shared" si="1"/>
        <v>FMR96EXNA6丸形埋込蛍光灯器具　φ1200</v>
      </c>
      <c r="C125" s="72" t="s">
        <v>238</v>
      </c>
      <c r="D125" s="34">
        <v>6</v>
      </c>
      <c r="E125" s="71" t="s">
        <v>419</v>
      </c>
      <c r="F125" s="2">
        <v>634</v>
      </c>
    </row>
    <row r="126" spans="1:6">
      <c r="A126" s="25">
        <v>123</v>
      </c>
      <c r="B126" s="25" t="str">
        <f t="shared" si="1"/>
        <v>FL40W1間接トラフ</v>
      </c>
      <c r="C126" s="72" t="s">
        <v>38</v>
      </c>
      <c r="D126" s="34">
        <v>1</v>
      </c>
      <c r="E126" s="71" t="s">
        <v>420</v>
      </c>
      <c r="F126" s="2">
        <v>47</v>
      </c>
    </row>
    <row r="127" spans="1:6">
      <c r="A127" s="25">
        <v>124</v>
      </c>
      <c r="B127" s="25" t="str">
        <f t="shared" si="1"/>
        <v>FL40W2埋込W300　連結右</v>
      </c>
      <c r="C127" s="72" t="s">
        <v>38</v>
      </c>
      <c r="D127" s="34">
        <v>2</v>
      </c>
      <c r="E127" s="71" t="s">
        <v>422</v>
      </c>
      <c r="F127" s="2">
        <v>94</v>
      </c>
    </row>
    <row r="128" spans="1:6">
      <c r="A128" s="25">
        <v>125</v>
      </c>
      <c r="B128" s="25" t="str">
        <f t="shared" si="1"/>
        <v>FL40W2埋込W300　連結左</v>
      </c>
      <c r="C128" s="72" t="s">
        <v>38</v>
      </c>
      <c r="D128" s="34">
        <v>2</v>
      </c>
      <c r="E128" s="71" t="s">
        <v>421</v>
      </c>
      <c r="F128" s="2">
        <v>94</v>
      </c>
    </row>
    <row r="129" spans="1:6">
      <c r="A129" s="25">
        <v>126</v>
      </c>
      <c r="B129" s="25" t="str">
        <f t="shared" si="1"/>
        <v>FL40W ＋PIL100V40WS35E172埋込W300　非常照明　電源別置</v>
      </c>
      <c r="C129" s="72" t="s">
        <v>350</v>
      </c>
      <c r="D129" s="34">
        <v>2</v>
      </c>
      <c r="E129" s="71" t="s">
        <v>393</v>
      </c>
      <c r="F129" s="2">
        <v>94</v>
      </c>
    </row>
    <row r="130" spans="1:6">
      <c r="A130" s="25">
        <v>127</v>
      </c>
      <c r="B130" s="25" t="str">
        <f t="shared" si="1"/>
        <v>LED1ダウンライト　φ150</v>
      </c>
      <c r="C130" s="72" t="s">
        <v>328</v>
      </c>
      <c r="D130" s="34">
        <v>1</v>
      </c>
      <c r="E130" s="71" t="s">
        <v>367</v>
      </c>
      <c r="F130" s="2">
        <v>10</v>
      </c>
    </row>
    <row r="131" spans="1:6">
      <c r="A131" s="25">
        <v>128</v>
      </c>
      <c r="B131" s="25" t="str">
        <f t="shared" si="1"/>
        <v>FL40SW＋PIL100V40WS35E172埋込W300　非常照明　電源別置</v>
      </c>
      <c r="C131" s="72" t="s">
        <v>351</v>
      </c>
      <c r="D131" s="34">
        <v>2</v>
      </c>
      <c r="E131" s="71" t="s">
        <v>393</v>
      </c>
      <c r="F131" s="2">
        <v>94</v>
      </c>
    </row>
    <row r="132" spans="1:6">
      <c r="A132" s="25">
        <v>129</v>
      </c>
      <c r="B132" s="25" t="str">
        <f t="shared" ref="B132:B155" si="2">C132&amp;D132&amp;E132</f>
        <v>FL20W＋PIL100V40WS35E172埋込W300　非常照明　電源別置</v>
      </c>
      <c r="C132" s="72" t="s">
        <v>294</v>
      </c>
      <c r="D132" s="34">
        <v>2</v>
      </c>
      <c r="E132" s="71" t="s">
        <v>393</v>
      </c>
      <c r="F132" s="2">
        <v>44</v>
      </c>
    </row>
    <row r="133" spans="1:6">
      <c r="A133" s="25">
        <v>130</v>
      </c>
      <c r="B133" s="25" t="str">
        <f t="shared" si="2"/>
        <v>FL20W2ブラケット</v>
      </c>
      <c r="C133" s="72" t="s">
        <v>40</v>
      </c>
      <c r="D133" s="34">
        <v>2</v>
      </c>
      <c r="E133" s="71" t="s">
        <v>372</v>
      </c>
      <c r="F133" s="2">
        <v>44</v>
      </c>
    </row>
    <row r="134" spans="1:6">
      <c r="A134" s="25">
        <v>131</v>
      </c>
      <c r="B134" s="25" t="str">
        <f t="shared" si="2"/>
        <v>FL20W1ブラケット</v>
      </c>
      <c r="C134" s="72" t="s">
        <v>40</v>
      </c>
      <c r="D134" s="34">
        <v>1</v>
      </c>
      <c r="E134" s="71" t="s">
        <v>372</v>
      </c>
      <c r="F134" s="2">
        <v>40</v>
      </c>
    </row>
    <row r="135" spans="1:6">
      <c r="A135" s="25">
        <v>132</v>
      </c>
      <c r="B135" s="25" t="str">
        <f t="shared" si="2"/>
        <v>IL100W1ダウンライト　φ125</v>
      </c>
      <c r="C135" s="72" t="s">
        <v>209</v>
      </c>
      <c r="D135" s="34">
        <v>1</v>
      </c>
      <c r="E135" s="71" t="s">
        <v>374</v>
      </c>
      <c r="F135" s="2">
        <v>100</v>
      </c>
    </row>
    <row r="136" spans="1:6">
      <c r="A136" s="25">
        <v>133</v>
      </c>
      <c r="B136" s="25" t="str">
        <f t="shared" si="2"/>
        <v>FL40SW＋PIL100V40WS35E172埋込W300　非常照明　電池内蔵</v>
      </c>
      <c r="C136" s="72" t="s">
        <v>351</v>
      </c>
      <c r="D136" s="34">
        <v>2</v>
      </c>
      <c r="E136" s="71" t="s">
        <v>423</v>
      </c>
      <c r="F136" s="2">
        <v>94</v>
      </c>
    </row>
    <row r="137" spans="1:6">
      <c r="A137" s="25">
        <v>134</v>
      </c>
      <c r="B137" s="25" t="str">
        <f t="shared" si="2"/>
        <v>FL40SW＋PIL100V40WS35E172壁付　非常照明　電池内蔵</v>
      </c>
      <c r="C137" s="72" t="s">
        <v>351</v>
      </c>
      <c r="D137" s="34">
        <v>2</v>
      </c>
      <c r="E137" s="71" t="s">
        <v>424</v>
      </c>
      <c r="F137" s="2">
        <v>94</v>
      </c>
    </row>
    <row r="138" spans="1:6">
      <c r="A138" s="25">
        <v>135</v>
      </c>
      <c r="B138" s="25" t="str">
        <f t="shared" si="2"/>
        <v>FL20W2ブラケット　WP</v>
      </c>
      <c r="C138" s="72" t="s">
        <v>40</v>
      </c>
      <c r="D138" s="34">
        <v>2</v>
      </c>
      <c r="E138" s="71" t="s">
        <v>406</v>
      </c>
      <c r="F138" s="2">
        <v>44</v>
      </c>
    </row>
    <row r="139" spans="1:6">
      <c r="A139" s="25">
        <v>136</v>
      </c>
      <c r="B139" s="25" t="str">
        <f t="shared" si="2"/>
        <v>IL40W1壁付防水型白熱灯</v>
      </c>
      <c r="C139" s="72" t="s">
        <v>147</v>
      </c>
      <c r="D139" s="34">
        <v>1</v>
      </c>
      <c r="E139" s="71" t="s">
        <v>425</v>
      </c>
      <c r="F139" s="2">
        <v>40</v>
      </c>
    </row>
    <row r="140" spans="1:6">
      <c r="A140" s="25">
        <v>137</v>
      </c>
      <c r="B140" s="25" t="str">
        <f t="shared" si="2"/>
        <v>FL20W＋PIL100V40WS35E172埋込W300　非常照明　電源別置　</v>
      </c>
      <c r="C140" s="72" t="s">
        <v>294</v>
      </c>
      <c r="D140" s="34">
        <v>2</v>
      </c>
      <c r="E140" s="71" t="s">
        <v>426</v>
      </c>
      <c r="F140" s="2">
        <v>44</v>
      </c>
    </row>
    <row r="141" spans="1:6">
      <c r="A141" s="25">
        <v>138</v>
      </c>
      <c r="B141" s="25" t="str">
        <f t="shared" si="2"/>
        <v>FL15W1ブラケット</v>
      </c>
      <c r="C141" s="72" t="s">
        <v>194</v>
      </c>
      <c r="D141" s="34">
        <v>1</v>
      </c>
      <c r="E141" s="71" t="s">
        <v>372</v>
      </c>
      <c r="F141" s="2">
        <v>15</v>
      </c>
    </row>
    <row r="142" spans="1:6">
      <c r="A142" s="25">
        <v>139</v>
      </c>
      <c r="B142" s="25" t="str">
        <f t="shared" si="2"/>
        <v>FPL36W2埋込　スクエア外寸□490</v>
      </c>
      <c r="C142" s="72" t="s">
        <v>210</v>
      </c>
      <c r="D142" s="34">
        <v>2</v>
      </c>
      <c r="E142" s="71" t="s">
        <v>428</v>
      </c>
      <c r="F142" s="2">
        <v>62</v>
      </c>
    </row>
    <row r="143" spans="1:6">
      <c r="A143" s="25">
        <v>140</v>
      </c>
      <c r="B143" s="25" t="str">
        <f t="shared" si="2"/>
        <v>FL40W2通路誘導灯　音声＋点滅</v>
      </c>
      <c r="C143" s="72" t="s">
        <v>38</v>
      </c>
      <c r="D143" s="34">
        <v>2</v>
      </c>
      <c r="E143" s="71" t="s">
        <v>353</v>
      </c>
      <c r="F143" s="2">
        <v>88</v>
      </c>
    </row>
    <row r="144" spans="1:6">
      <c r="A144" s="25">
        <v>141</v>
      </c>
      <c r="B144" s="25" t="str">
        <f t="shared" si="2"/>
        <v>FL20W1通路誘導灯　音声＋点滅</v>
      </c>
      <c r="C144" s="72" t="s">
        <v>40</v>
      </c>
      <c r="D144" s="34">
        <v>1</v>
      </c>
      <c r="E144" s="71" t="s">
        <v>353</v>
      </c>
      <c r="F144" s="2">
        <v>22</v>
      </c>
    </row>
    <row r="145" spans="1:6">
      <c r="A145" s="25">
        <v>142</v>
      </c>
      <c r="B145" s="25" t="str">
        <f t="shared" si="2"/>
        <v>FL40W2避難口誘導灯　音声＋点滅</v>
      </c>
      <c r="C145" s="72" t="s">
        <v>38</v>
      </c>
      <c r="D145" s="34">
        <v>2</v>
      </c>
      <c r="E145" s="71" t="s">
        <v>352</v>
      </c>
      <c r="F145" s="2">
        <v>88</v>
      </c>
    </row>
    <row r="146" spans="1:6">
      <c r="A146" s="25">
        <v>143</v>
      </c>
      <c r="B146" s="25" t="str">
        <f t="shared" si="2"/>
        <v>FL20W2逆富士</v>
      </c>
      <c r="C146" s="72" t="s">
        <v>40</v>
      </c>
      <c r="D146" s="34">
        <v>2</v>
      </c>
      <c r="E146" s="71" t="s">
        <v>356</v>
      </c>
      <c r="F146" s="2">
        <v>44</v>
      </c>
    </row>
    <row r="147" spans="1:6">
      <c r="A147" s="25">
        <v>144</v>
      </c>
      <c r="B147" s="25" t="str">
        <f t="shared" si="2"/>
        <v>MF400W1高天井器具</v>
      </c>
      <c r="C147" s="72" t="s">
        <v>429</v>
      </c>
      <c r="D147" s="34">
        <v>1</v>
      </c>
      <c r="E147" s="71" t="s">
        <v>430</v>
      </c>
      <c r="F147" s="2">
        <v>433</v>
      </c>
    </row>
    <row r="148" spans="1:6">
      <c r="A148" s="25">
        <v>145</v>
      </c>
      <c r="B148" s="25" t="str">
        <f t="shared" si="2"/>
        <v>MF700W1高天井器具</v>
      </c>
      <c r="C148" s="72" t="s">
        <v>432</v>
      </c>
      <c r="D148" s="34">
        <v>1</v>
      </c>
      <c r="E148" s="71" t="s">
        <v>431</v>
      </c>
      <c r="F148" s="2">
        <v>770</v>
      </c>
    </row>
    <row r="149" spans="1:6">
      <c r="A149" s="25">
        <v>146</v>
      </c>
      <c r="B149" s="25" t="str">
        <f t="shared" si="2"/>
        <v>200Wx９灯9ボーダーライト</v>
      </c>
      <c r="C149" s="72" t="s">
        <v>228</v>
      </c>
      <c r="D149" s="34">
        <v>9</v>
      </c>
      <c r="E149" s="71" t="s">
        <v>224</v>
      </c>
      <c r="F149" s="2">
        <v>1800</v>
      </c>
    </row>
    <row r="150" spans="1:6">
      <c r="A150" s="25">
        <v>147</v>
      </c>
      <c r="B150" s="25" t="str">
        <f t="shared" si="2"/>
        <v>500w1サスペンションスポットライト</v>
      </c>
      <c r="C150" s="72" t="s">
        <v>229</v>
      </c>
      <c r="D150" s="34">
        <v>1</v>
      </c>
      <c r="E150" s="71" t="s">
        <v>225</v>
      </c>
      <c r="F150" s="2">
        <v>500</v>
      </c>
    </row>
    <row r="151" spans="1:6">
      <c r="A151" s="25">
        <v>148</v>
      </c>
      <c r="B151" s="25" t="str">
        <f t="shared" si="2"/>
        <v>1kw1シーリングスポットライト</v>
      </c>
      <c r="C151" s="72" t="s">
        <v>230</v>
      </c>
      <c r="D151" s="34">
        <v>1</v>
      </c>
      <c r="E151" s="71" t="s">
        <v>226</v>
      </c>
      <c r="F151" s="2">
        <v>1000</v>
      </c>
    </row>
    <row r="152" spans="1:6">
      <c r="A152" s="25">
        <v>149</v>
      </c>
      <c r="B152" s="25" t="str">
        <f t="shared" si="2"/>
        <v>1kw1フォローピンスポットライト</v>
      </c>
      <c r="C152" s="72" t="s">
        <v>230</v>
      </c>
      <c r="D152" s="34">
        <v>1</v>
      </c>
      <c r="E152" s="71" t="s">
        <v>227</v>
      </c>
      <c r="F152" s="2">
        <v>1000</v>
      </c>
    </row>
    <row r="153" spans="1:6">
      <c r="A153" s="25">
        <v>150</v>
      </c>
      <c r="B153" s="25" t="str">
        <f t="shared" si="2"/>
        <v>FLR40W1階段灯　電池内蔵</v>
      </c>
      <c r="C153" s="72" t="s">
        <v>105</v>
      </c>
      <c r="D153" s="34">
        <v>1</v>
      </c>
      <c r="E153" s="71" t="s">
        <v>231</v>
      </c>
      <c r="F153" s="2">
        <v>44</v>
      </c>
    </row>
    <row r="154" spans="1:6">
      <c r="A154" s="25">
        <v>151</v>
      </c>
      <c r="B154" s="25" t="str">
        <f t="shared" si="2"/>
        <v>FL40W2逆富士　電池内蔵</v>
      </c>
      <c r="C154" s="72" t="s">
        <v>38</v>
      </c>
      <c r="D154" s="34">
        <v>2</v>
      </c>
      <c r="E154" s="71" t="s">
        <v>236</v>
      </c>
      <c r="F154" s="2">
        <v>94</v>
      </c>
    </row>
    <row r="155" spans="1:6">
      <c r="A155" s="25">
        <v>152</v>
      </c>
      <c r="B155" s="25" t="str">
        <f t="shared" si="2"/>
        <v>FL20W2逆富士　電池内蔵</v>
      </c>
      <c r="C155" s="72" t="s">
        <v>40</v>
      </c>
      <c r="D155" s="34">
        <v>2</v>
      </c>
      <c r="E155" s="71" t="s">
        <v>236</v>
      </c>
      <c r="F155" s="2">
        <v>44</v>
      </c>
    </row>
  </sheetData>
  <autoFilter ref="A3:F155" xr:uid="{2682B705-907F-4E21-B1B8-33810E8345AE}"/>
  <phoneticPr fontId="4"/>
  <dataValidations count="1">
    <dataValidation allowBlank="1" showInputMessage="1" showErrorMessage="1" sqref="E4:E46 E48:E155" xr:uid="{85DBA581-F469-4EAA-9267-06D7B0EB2A0D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C1AA-ECF1-4379-88FC-3CC719157757}">
  <sheetPr>
    <tabColor rgb="FF00B050"/>
  </sheetPr>
  <dimension ref="A1:F73"/>
  <sheetViews>
    <sheetView topLeftCell="A52" zoomScale="115" zoomScaleNormal="115" workbookViewId="0">
      <selection activeCell="I11" sqref="I11"/>
    </sheetView>
  </sheetViews>
  <sheetFormatPr defaultRowHeight="17.649999999999999"/>
  <cols>
    <col min="1" max="1" width="21" bestFit="1" customWidth="1"/>
    <col min="2" max="2" width="13.3125" customWidth="1"/>
    <col min="3" max="3" width="6.875" bestFit="1" customWidth="1"/>
    <col min="4" max="4" width="8" bestFit="1" customWidth="1"/>
    <col min="5" max="5" width="11.625" bestFit="1" customWidth="1"/>
    <col min="6" max="6" width="27.0625" customWidth="1"/>
  </cols>
  <sheetData>
    <row r="1" spans="1:6">
      <c r="A1" s="21" t="s">
        <v>503</v>
      </c>
      <c r="B1" s="5"/>
      <c r="C1" s="5"/>
      <c r="D1" s="5"/>
      <c r="E1" s="5"/>
      <c r="F1" s="5"/>
    </row>
    <row r="2" spans="1:6" ht="19.149999999999999">
      <c r="A2" s="22"/>
      <c r="B2" s="5"/>
      <c r="C2" s="5"/>
      <c r="D2" s="5"/>
      <c r="E2" s="5"/>
      <c r="F2" s="5"/>
    </row>
    <row r="3" spans="1:6" ht="21">
      <c r="A3" s="23" t="s">
        <v>504</v>
      </c>
      <c r="B3" s="23" t="s">
        <v>505</v>
      </c>
      <c r="C3" s="24" t="s">
        <v>506</v>
      </c>
      <c r="D3" s="24" t="s">
        <v>507</v>
      </c>
      <c r="E3" s="24" t="s">
        <v>508</v>
      </c>
      <c r="F3" s="23" t="s">
        <v>6</v>
      </c>
    </row>
    <row r="4" spans="1:6" s="43" customFormat="1">
      <c r="A4" s="44" t="s">
        <v>311</v>
      </c>
      <c r="B4" s="45" t="s">
        <v>1079</v>
      </c>
      <c r="C4" s="46">
        <v>7</v>
      </c>
      <c r="D4" s="45">
        <v>278</v>
      </c>
      <c r="E4" s="79">
        <f>ROUNDUP(C4*D4,0)</f>
        <v>1946</v>
      </c>
      <c r="F4" s="1"/>
    </row>
    <row r="5" spans="1:6" s="43" customFormat="1">
      <c r="A5" s="47" t="s">
        <v>1047</v>
      </c>
      <c r="B5" s="48" t="s">
        <v>1080</v>
      </c>
      <c r="C5" s="49">
        <v>4</v>
      </c>
      <c r="D5" s="45">
        <v>309</v>
      </c>
      <c r="E5" s="79">
        <f>ROUNDUP(C5*D5,0)</f>
        <v>1236</v>
      </c>
      <c r="F5" s="1"/>
    </row>
    <row r="6" spans="1:6" s="43" customFormat="1">
      <c r="A6" s="50" t="s">
        <v>1048</v>
      </c>
      <c r="B6" s="48" t="s">
        <v>1080</v>
      </c>
      <c r="C6" s="49">
        <v>3</v>
      </c>
      <c r="D6" s="45">
        <v>309</v>
      </c>
      <c r="E6" s="79">
        <f t="shared" ref="E6:E69" si="0">ROUNDUP(C6*D6,0)</f>
        <v>927</v>
      </c>
      <c r="F6" s="1"/>
    </row>
    <row r="7" spans="1:6" s="43" customFormat="1">
      <c r="A7" s="51" t="s">
        <v>1049</v>
      </c>
      <c r="B7" s="48" t="s">
        <v>1080</v>
      </c>
      <c r="C7" s="49">
        <v>1</v>
      </c>
      <c r="D7" s="45">
        <v>309</v>
      </c>
      <c r="E7" s="79">
        <f t="shared" si="0"/>
        <v>309</v>
      </c>
      <c r="F7" s="1"/>
    </row>
    <row r="8" spans="1:6" s="43" customFormat="1">
      <c r="A8" s="52" t="s">
        <v>1050</v>
      </c>
      <c r="B8" s="48" t="s">
        <v>1080</v>
      </c>
      <c r="C8" s="53">
        <v>1</v>
      </c>
      <c r="D8" s="45">
        <v>309</v>
      </c>
      <c r="E8" s="79">
        <f t="shared" si="0"/>
        <v>309</v>
      </c>
      <c r="F8" s="1"/>
    </row>
    <row r="9" spans="1:6" s="43" customFormat="1">
      <c r="A9" s="52" t="s">
        <v>1103</v>
      </c>
      <c r="B9" s="48" t="s">
        <v>1080</v>
      </c>
      <c r="C9" s="53">
        <v>4</v>
      </c>
      <c r="D9" s="45">
        <v>309</v>
      </c>
      <c r="E9" s="79">
        <f t="shared" si="0"/>
        <v>1236</v>
      </c>
      <c r="F9" s="1"/>
    </row>
    <row r="10" spans="1:6" s="43" customFormat="1">
      <c r="A10" s="52" t="s">
        <v>1051</v>
      </c>
      <c r="B10" s="48" t="s">
        <v>1080</v>
      </c>
      <c r="C10" s="53">
        <v>4</v>
      </c>
      <c r="D10" s="45">
        <v>309</v>
      </c>
      <c r="E10" s="79">
        <f t="shared" si="0"/>
        <v>1236</v>
      </c>
      <c r="F10" s="1"/>
    </row>
    <row r="11" spans="1:6" s="43" customFormat="1">
      <c r="A11" s="52" t="s">
        <v>1052</v>
      </c>
      <c r="B11" s="48" t="s">
        <v>1080</v>
      </c>
      <c r="C11" s="53">
        <v>4</v>
      </c>
      <c r="D11" s="45">
        <v>309</v>
      </c>
      <c r="E11" s="79">
        <f t="shared" si="0"/>
        <v>1236</v>
      </c>
      <c r="F11" s="1"/>
    </row>
    <row r="12" spans="1:6" s="43" customFormat="1">
      <c r="A12" s="52" t="s">
        <v>257</v>
      </c>
      <c r="B12" s="48" t="s">
        <v>1080</v>
      </c>
      <c r="C12" s="53">
        <v>7</v>
      </c>
      <c r="D12" s="45">
        <v>309</v>
      </c>
      <c r="E12" s="79">
        <f t="shared" si="0"/>
        <v>2163</v>
      </c>
      <c r="F12" s="1"/>
    </row>
    <row r="13" spans="1:6" s="43" customFormat="1">
      <c r="A13" s="52" t="s">
        <v>1109</v>
      </c>
      <c r="B13" s="48" t="s">
        <v>1080</v>
      </c>
      <c r="C13" s="53">
        <v>3</v>
      </c>
      <c r="D13" s="45">
        <v>309</v>
      </c>
      <c r="E13" s="79">
        <f t="shared" si="0"/>
        <v>927</v>
      </c>
      <c r="F13" s="1"/>
    </row>
    <row r="14" spans="1:6" s="43" customFormat="1">
      <c r="A14" s="52" t="s">
        <v>1053</v>
      </c>
      <c r="B14" s="48" t="s">
        <v>1081</v>
      </c>
      <c r="C14" s="49">
        <v>12.5</v>
      </c>
      <c r="D14" s="45">
        <v>309</v>
      </c>
      <c r="E14" s="79">
        <f t="shared" si="0"/>
        <v>3863</v>
      </c>
      <c r="F14" s="1"/>
    </row>
    <row r="15" spans="1:6" s="43" customFormat="1">
      <c r="A15" s="52" t="s">
        <v>1054</v>
      </c>
      <c r="B15" s="48" t="s">
        <v>1081</v>
      </c>
      <c r="C15" s="49">
        <v>12.5</v>
      </c>
      <c r="D15" s="45">
        <v>309</v>
      </c>
      <c r="E15" s="79">
        <f t="shared" si="0"/>
        <v>3863</v>
      </c>
      <c r="F15" s="1"/>
    </row>
    <row r="16" spans="1:6" s="43" customFormat="1">
      <c r="A16" s="52" t="s">
        <v>1055</v>
      </c>
      <c r="B16" s="48" t="s">
        <v>1081</v>
      </c>
      <c r="C16" s="49">
        <v>12.5</v>
      </c>
      <c r="D16" s="45">
        <v>309</v>
      </c>
      <c r="E16" s="79">
        <f t="shared" si="0"/>
        <v>3863</v>
      </c>
      <c r="F16" s="1"/>
    </row>
    <row r="17" spans="1:6" s="43" customFormat="1">
      <c r="A17" s="52" t="s">
        <v>1056</v>
      </c>
      <c r="B17" s="48" t="s">
        <v>1082</v>
      </c>
      <c r="C17" s="49">
        <v>4</v>
      </c>
      <c r="D17" s="45">
        <v>309</v>
      </c>
      <c r="E17" s="79">
        <f t="shared" si="0"/>
        <v>1236</v>
      </c>
      <c r="F17" s="1"/>
    </row>
    <row r="18" spans="1:6" s="43" customFormat="1">
      <c r="A18" s="52" t="s">
        <v>1057</v>
      </c>
      <c r="B18" s="24" t="s">
        <v>1083</v>
      </c>
      <c r="C18" s="49">
        <v>8</v>
      </c>
      <c r="D18" s="45">
        <v>309</v>
      </c>
      <c r="E18" s="79">
        <f t="shared" si="0"/>
        <v>2472</v>
      </c>
      <c r="F18" s="1"/>
    </row>
    <row r="19" spans="1:6" s="43" customFormat="1">
      <c r="A19" s="52" t="s">
        <v>1104</v>
      </c>
      <c r="B19" s="24" t="s">
        <v>1083</v>
      </c>
      <c r="C19" s="49">
        <v>1</v>
      </c>
      <c r="D19" s="45">
        <v>309</v>
      </c>
      <c r="E19" s="79">
        <f t="shared" si="0"/>
        <v>309</v>
      </c>
      <c r="F19" s="1"/>
    </row>
    <row r="20" spans="1:6" s="43" customFormat="1">
      <c r="A20" s="52" t="s">
        <v>1058</v>
      </c>
      <c r="B20" s="24" t="s">
        <v>1083</v>
      </c>
      <c r="C20" s="49">
        <v>6</v>
      </c>
      <c r="D20" s="45">
        <v>309</v>
      </c>
      <c r="E20" s="79">
        <f t="shared" si="0"/>
        <v>1854</v>
      </c>
      <c r="F20" s="1"/>
    </row>
    <row r="21" spans="1:6" s="43" customFormat="1">
      <c r="A21" s="52" t="s">
        <v>1059</v>
      </c>
      <c r="B21" s="24" t="s">
        <v>1083</v>
      </c>
      <c r="C21" s="49">
        <v>1</v>
      </c>
      <c r="D21" s="45">
        <v>309</v>
      </c>
      <c r="E21" s="79">
        <f t="shared" si="0"/>
        <v>309</v>
      </c>
      <c r="F21" s="1"/>
    </row>
    <row r="22" spans="1:6" s="43" customFormat="1">
      <c r="A22" s="52" t="s">
        <v>1101</v>
      </c>
      <c r="B22" s="48" t="s">
        <v>1080</v>
      </c>
      <c r="C22" s="49">
        <v>3</v>
      </c>
      <c r="D22" s="45">
        <v>309</v>
      </c>
      <c r="E22" s="79">
        <f t="shared" si="0"/>
        <v>927</v>
      </c>
      <c r="F22" s="1"/>
    </row>
    <row r="23" spans="1:6" s="43" customFormat="1">
      <c r="A23" s="52" t="s">
        <v>1102</v>
      </c>
      <c r="B23" s="48" t="s">
        <v>1080</v>
      </c>
      <c r="C23" s="49">
        <v>3</v>
      </c>
      <c r="D23" s="45">
        <v>309</v>
      </c>
      <c r="E23" s="79">
        <f t="shared" si="0"/>
        <v>927</v>
      </c>
      <c r="F23" s="1"/>
    </row>
    <row r="24" spans="1:6" s="43" customFormat="1">
      <c r="A24" s="52" t="s">
        <v>1060</v>
      </c>
      <c r="B24" s="24" t="s">
        <v>1084</v>
      </c>
      <c r="C24" s="49">
        <v>9</v>
      </c>
      <c r="D24" s="45">
        <v>309</v>
      </c>
      <c r="E24" s="79">
        <f t="shared" si="0"/>
        <v>2781</v>
      </c>
      <c r="F24" s="1"/>
    </row>
    <row r="25" spans="1:6" s="43" customFormat="1">
      <c r="A25" s="52" t="s">
        <v>1105</v>
      </c>
      <c r="B25" s="24" t="s">
        <v>1084</v>
      </c>
      <c r="C25" s="49">
        <v>9</v>
      </c>
      <c r="D25" s="45">
        <v>309</v>
      </c>
      <c r="E25" s="79">
        <f t="shared" si="0"/>
        <v>2781</v>
      </c>
      <c r="F25" s="1"/>
    </row>
    <row r="26" spans="1:6" s="43" customFormat="1">
      <c r="A26" s="52" t="s">
        <v>1061</v>
      </c>
      <c r="B26" s="24" t="s">
        <v>1083</v>
      </c>
      <c r="C26" s="49">
        <v>8</v>
      </c>
      <c r="D26" s="45">
        <v>243</v>
      </c>
      <c r="E26" s="79">
        <f t="shared" si="0"/>
        <v>1944</v>
      </c>
      <c r="F26" s="1"/>
    </row>
    <row r="27" spans="1:6" s="43" customFormat="1">
      <c r="A27" s="52" t="s">
        <v>1062</v>
      </c>
      <c r="B27" s="24" t="s">
        <v>1083</v>
      </c>
      <c r="C27" s="49">
        <v>8</v>
      </c>
      <c r="D27" s="45">
        <v>243</v>
      </c>
      <c r="E27" s="79">
        <f t="shared" si="0"/>
        <v>1944</v>
      </c>
      <c r="F27" s="1"/>
    </row>
    <row r="28" spans="1:6" s="43" customFormat="1">
      <c r="A28" s="52" t="s">
        <v>1063</v>
      </c>
      <c r="B28" s="24" t="s">
        <v>1083</v>
      </c>
      <c r="C28" s="49">
        <v>8</v>
      </c>
      <c r="D28" s="45">
        <v>243</v>
      </c>
      <c r="E28" s="79">
        <f t="shared" si="0"/>
        <v>1944</v>
      </c>
      <c r="F28" s="1"/>
    </row>
    <row r="29" spans="1:6" s="43" customFormat="1">
      <c r="A29" s="52" t="s">
        <v>278</v>
      </c>
      <c r="B29" s="24" t="s">
        <v>1084</v>
      </c>
      <c r="C29" s="49">
        <v>9</v>
      </c>
      <c r="D29" s="45">
        <v>243</v>
      </c>
      <c r="E29" s="79">
        <f t="shared" si="0"/>
        <v>2187</v>
      </c>
      <c r="F29" s="1"/>
    </row>
    <row r="30" spans="1:6" s="43" customFormat="1">
      <c r="A30" s="52" t="s">
        <v>1064</v>
      </c>
      <c r="B30" s="24" t="s">
        <v>1084</v>
      </c>
      <c r="C30" s="49">
        <v>9</v>
      </c>
      <c r="D30" s="45">
        <v>243</v>
      </c>
      <c r="E30" s="79">
        <f t="shared" si="0"/>
        <v>2187</v>
      </c>
      <c r="F30" s="1"/>
    </row>
    <row r="31" spans="1:6" s="43" customFormat="1">
      <c r="A31" s="52" t="s">
        <v>1065</v>
      </c>
      <c r="B31" s="48" t="s">
        <v>1080</v>
      </c>
      <c r="C31" s="49">
        <v>3</v>
      </c>
      <c r="D31" s="45">
        <v>309</v>
      </c>
      <c r="E31" s="79">
        <f t="shared" si="0"/>
        <v>927</v>
      </c>
      <c r="F31" s="1"/>
    </row>
    <row r="32" spans="1:6" s="43" customFormat="1">
      <c r="A32" s="52" t="s">
        <v>1066</v>
      </c>
      <c r="B32" s="48" t="s">
        <v>1080</v>
      </c>
      <c r="C32" s="49">
        <v>1</v>
      </c>
      <c r="D32" s="45">
        <v>309</v>
      </c>
      <c r="E32" s="79">
        <f t="shared" si="0"/>
        <v>309</v>
      </c>
      <c r="F32" s="1"/>
    </row>
    <row r="33" spans="1:6" s="43" customFormat="1">
      <c r="A33" s="52" t="s">
        <v>1067</v>
      </c>
      <c r="B33" s="48" t="s">
        <v>1080</v>
      </c>
      <c r="C33" s="49">
        <v>1</v>
      </c>
      <c r="D33" s="45">
        <v>309</v>
      </c>
      <c r="E33" s="79">
        <f t="shared" si="0"/>
        <v>309</v>
      </c>
      <c r="F33" s="1"/>
    </row>
    <row r="34" spans="1:6" s="43" customFormat="1">
      <c r="A34" s="52" t="s">
        <v>1106</v>
      </c>
      <c r="B34" s="48" t="s">
        <v>1080</v>
      </c>
      <c r="C34" s="49">
        <v>4</v>
      </c>
      <c r="D34" s="45">
        <v>309</v>
      </c>
      <c r="E34" s="79">
        <f t="shared" si="0"/>
        <v>1236</v>
      </c>
      <c r="F34" s="1"/>
    </row>
    <row r="35" spans="1:6" s="43" customFormat="1">
      <c r="A35" s="52" t="s">
        <v>1107</v>
      </c>
      <c r="B35" s="48" t="s">
        <v>1080</v>
      </c>
      <c r="C35" s="49">
        <v>4</v>
      </c>
      <c r="D35" s="45">
        <v>309</v>
      </c>
      <c r="E35" s="79">
        <f t="shared" si="0"/>
        <v>1236</v>
      </c>
      <c r="F35" s="1"/>
    </row>
    <row r="36" spans="1:6" s="43" customFormat="1">
      <c r="A36" s="51" t="s">
        <v>274</v>
      </c>
      <c r="B36" s="48" t="s">
        <v>1080</v>
      </c>
      <c r="C36" s="49">
        <v>3</v>
      </c>
      <c r="D36" s="45">
        <v>309</v>
      </c>
      <c r="E36" s="79">
        <f t="shared" si="0"/>
        <v>927</v>
      </c>
      <c r="F36" s="1"/>
    </row>
    <row r="37" spans="1:6" s="43" customFormat="1">
      <c r="A37" s="51" t="s">
        <v>1068</v>
      </c>
      <c r="B37" s="48" t="s">
        <v>1080</v>
      </c>
      <c r="C37" s="49">
        <v>12</v>
      </c>
      <c r="D37" s="45">
        <v>309</v>
      </c>
      <c r="E37" s="79">
        <f t="shared" si="0"/>
        <v>3708</v>
      </c>
      <c r="F37" s="1"/>
    </row>
    <row r="38" spans="1:6" s="43" customFormat="1">
      <c r="A38" s="52" t="s">
        <v>1069</v>
      </c>
      <c r="B38" s="48" t="s">
        <v>1080</v>
      </c>
      <c r="C38" s="49">
        <v>1</v>
      </c>
      <c r="D38" s="45">
        <v>309</v>
      </c>
      <c r="E38" s="79">
        <f t="shared" si="0"/>
        <v>309</v>
      </c>
      <c r="F38" s="1"/>
    </row>
    <row r="39" spans="1:6" s="43" customFormat="1">
      <c r="A39" s="52" t="s">
        <v>1070</v>
      </c>
      <c r="B39" s="48" t="s">
        <v>1085</v>
      </c>
      <c r="C39" s="49">
        <v>13</v>
      </c>
      <c r="D39" s="45">
        <v>309</v>
      </c>
      <c r="E39" s="79">
        <f t="shared" si="0"/>
        <v>4017</v>
      </c>
      <c r="F39" s="1"/>
    </row>
    <row r="40" spans="1:6" s="43" customFormat="1">
      <c r="A40" s="52" t="s">
        <v>1071</v>
      </c>
      <c r="B40" s="45" t="s">
        <v>1085</v>
      </c>
      <c r="C40" s="49">
        <v>13</v>
      </c>
      <c r="D40" s="45">
        <v>309</v>
      </c>
      <c r="E40" s="79">
        <f t="shared" si="0"/>
        <v>4017</v>
      </c>
      <c r="F40" s="1"/>
    </row>
    <row r="41" spans="1:6" s="43" customFormat="1">
      <c r="A41" s="52" t="s">
        <v>1072</v>
      </c>
      <c r="B41" s="24" t="s">
        <v>1084</v>
      </c>
      <c r="C41" s="49">
        <v>9</v>
      </c>
      <c r="D41" s="45">
        <v>243</v>
      </c>
      <c r="E41" s="79">
        <f t="shared" si="0"/>
        <v>2187</v>
      </c>
      <c r="F41" s="1"/>
    </row>
    <row r="42" spans="1:6" s="43" customFormat="1">
      <c r="A42" s="52" t="s">
        <v>1073</v>
      </c>
      <c r="B42" s="24" t="s">
        <v>1084</v>
      </c>
      <c r="C42" s="49">
        <v>9</v>
      </c>
      <c r="D42" s="45">
        <v>243</v>
      </c>
      <c r="E42" s="79">
        <f t="shared" si="0"/>
        <v>2187</v>
      </c>
      <c r="F42" s="1"/>
    </row>
    <row r="43" spans="1:6" s="43" customFormat="1">
      <c r="A43" s="52" t="s">
        <v>1074</v>
      </c>
      <c r="B43" s="24" t="s">
        <v>1084</v>
      </c>
      <c r="C43" s="49">
        <v>5</v>
      </c>
      <c r="D43" s="45">
        <v>243</v>
      </c>
      <c r="E43" s="79">
        <f t="shared" si="0"/>
        <v>1215</v>
      </c>
      <c r="F43" s="1"/>
    </row>
    <row r="44" spans="1:6" s="43" customFormat="1" ht="21">
      <c r="A44" s="52" t="s">
        <v>253</v>
      </c>
      <c r="B44" s="24" t="s">
        <v>1086</v>
      </c>
      <c r="C44" s="46">
        <v>4</v>
      </c>
      <c r="D44" s="45">
        <v>309</v>
      </c>
      <c r="E44" s="79">
        <f t="shared" si="0"/>
        <v>1236</v>
      </c>
      <c r="F44" s="1"/>
    </row>
    <row r="45" spans="1:6" s="43" customFormat="1" ht="21">
      <c r="A45" s="52" t="s">
        <v>1075</v>
      </c>
      <c r="B45" s="24" t="s">
        <v>1086</v>
      </c>
      <c r="C45" s="46">
        <v>4</v>
      </c>
      <c r="D45" s="45">
        <v>309</v>
      </c>
      <c r="E45" s="79">
        <f t="shared" si="0"/>
        <v>1236</v>
      </c>
      <c r="F45" s="1"/>
    </row>
    <row r="46" spans="1:6" s="43" customFormat="1" ht="21">
      <c r="A46" s="52" t="s">
        <v>260</v>
      </c>
      <c r="B46" s="24" t="s">
        <v>1086</v>
      </c>
      <c r="C46" s="46">
        <v>8</v>
      </c>
      <c r="D46" s="45">
        <v>309</v>
      </c>
      <c r="E46" s="79">
        <f t="shared" si="0"/>
        <v>2472</v>
      </c>
      <c r="F46" s="1"/>
    </row>
    <row r="47" spans="1:6" s="43" customFormat="1" ht="21">
      <c r="A47" s="52" t="s">
        <v>1076</v>
      </c>
      <c r="B47" s="24" t="s">
        <v>1086</v>
      </c>
      <c r="C47" s="46">
        <v>3</v>
      </c>
      <c r="D47" s="45">
        <v>309</v>
      </c>
      <c r="E47" s="79">
        <f t="shared" si="0"/>
        <v>927</v>
      </c>
      <c r="F47" s="1"/>
    </row>
    <row r="48" spans="1:6" s="43" customFormat="1" ht="21">
      <c r="A48" s="52" t="s">
        <v>259</v>
      </c>
      <c r="B48" s="24" t="s">
        <v>1086</v>
      </c>
      <c r="C48" s="46">
        <v>3</v>
      </c>
      <c r="D48" s="45">
        <v>309</v>
      </c>
      <c r="E48" s="79">
        <f t="shared" si="0"/>
        <v>927</v>
      </c>
      <c r="F48" s="1"/>
    </row>
    <row r="49" spans="1:6" s="43" customFormat="1" ht="21">
      <c r="A49" s="52" t="s">
        <v>257</v>
      </c>
      <c r="B49" s="24" t="s">
        <v>1086</v>
      </c>
      <c r="C49" s="46">
        <v>3</v>
      </c>
      <c r="D49" s="45">
        <v>309</v>
      </c>
      <c r="E49" s="79">
        <f t="shared" si="0"/>
        <v>927</v>
      </c>
      <c r="F49" s="1"/>
    </row>
    <row r="50" spans="1:6" s="43" customFormat="1">
      <c r="A50" s="52" t="s">
        <v>1108</v>
      </c>
      <c r="B50" s="48" t="s">
        <v>1080</v>
      </c>
      <c r="C50" s="49">
        <v>4</v>
      </c>
      <c r="D50" s="45">
        <v>309</v>
      </c>
      <c r="E50" s="79">
        <f t="shared" si="0"/>
        <v>1236</v>
      </c>
      <c r="F50" s="1"/>
    </row>
    <row r="51" spans="1:6" s="43" customFormat="1">
      <c r="A51" s="52" t="s">
        <v>258</v>
      </c>
      <c r="B51" s="24" t="s">
        <v>1087</v>
      </c>
      <c r="C51" s="49">
        <v>2</v>
      </c>
      <c r="D51" s="45">
        <v>309</v>
      </c>
      <c r="E51" s="79">
        <f t="shared" si="0"/>
        <v>618</v>
      </c>
      <c r="F51" s="1"/>
    </row>
    <row r="52" spans="1:6" s="43" customFormat="1" ht="21">
      <c r="A52" s="54" t="s">
        <v>255</v>
      </c>
      <c r="B52" s="24" t="s">
        <v>1086</v>
      </c>
      <c r="C52" s="46">
        <v>8.5</v>
      </c>
      <c r="D52" s="45">
        <v>309</v>
      </c>
      <c r="E52" s="79">
        <f t="shared" si="0"/>
        <v>2627</v>
      </c>
      <c r="F52" s="1"/>
    </row>
    <row r="53" spans="1:6" s="43" customFormat="1" ht="21">
      <c r="A53" s="54" t="s">
        <v>1077</v>
      </c>
      <c r="B53" s="24" t="s">
        <v>1088</v>
      </c>
      <c r="C53" s="46">
        <v>9</v>
      </c>
      <c r="D53" s="45">
        <v>309</v>
      </c>
      <c r="E53" s="79">
        <f t="shared" si="0"/>
        <v>2781</v>
      </c>
      <c r="F53" s="1"/>
    </row>
    <row r="54" spans="1:6" s="43" customFormat="1">
      <c r="A54" s="52" t="s">
        <v>1111</v>
      </c>
      <c r="B54" s="45" t="s">
        <v>1080</v>
      </c>
      <c r="C54" s="49">
        <v>1</v>
      </c>
      <c r="D54" s="45">
        <v>309</v>
      </c>
      <c r="E54" s="79">
        <f t="shared" si="0"/>
        <v>309</v>
      </c>
      <c r="F54" s="25" t="s">
        <v>512</v>
      </c>
    </row>
    <row r="55" spans="1:6" s="43" customFormat="1" ht="31.5">
      <c r="A55" s="52" t="s">
        <v>1078</v>
      </c>
      <c r="B55" s="45" t="s">
        <v>1089</v>
      </c>
      <c r="C55" s="55">
        <v>12.92</v>
      </c>
      <c r="D55" s="56">
        <v>361</v>
      </c>
      <c r="E55" s="79">
        <f t="shared" si="0"/>
        <v>4665</v>
      </c>
      <c r="F55" s="1"/>
    </row>
    <row r="56" spans="1:6">
      <c r="A56" s="25" t="s">
        <v>509</v>
      </c>
      <c r="B56" s="57" t="s">
        <v>1096</v>
      </c>
      <c r="C56" s="58">
        <v>13.5</v>
      </c>
      <c r="D56" s="25">
        <v>309</v>
      </c>
      <c r="E56" s="79">
        <f t="shared" si="0"/>
        <v>4172</v>
      </c>
      <c r="F56" s="25" t="s">
        <v>510</v>
      </c>
    </row>
    <row r="57" spans="1:6">
      <c r="A57" s="25" t="s">
        <v>1095</v>
      </c>
      <c r="B57" s="45" t="s">
        <v>1079</v>
      </c>
      <c r="C57" s="59">
        <v>3</v>
      </c>
      <c r="D57" s="56">
        <v>278</v>
      </c>
      <c r="E57" s="79">
        <f t="shared" si="0"/>
        <v>834</v>
      </c>
      <c r="F57" s="25"/>
    </row>
    <row r="58" spans="1:6">
      <c r="A58" s="25" t="s">
        <v>1098</v>
      </c>
      <c r="B58" s="57" t="s">
        <v>1096</v>
      </c>
      <c r="C58" s="58">
        <v>6</v>
      </c>
      <c r="D58" s="25">
        <v>309</v>
      </c>
      <c r="E58" s="79">
        <f t="shared" si="0"/>
        <v>1854</v>
      </c>
      <c r="F58" s="25"/>
    </row>
    <row r="59" spans="1:6">
      <c r="A59" s="25" t="s">
        <v>1099</v>
      </c>
      <c r="B59" s="57" t="s">
        <v>1096</v>
      </c>
      <c r="C59" s="58">
        <v>6</v>
      </c>
      <c r="D59" s="25">
        <v>309</v>
      </c>
      <c r="E59" s="79">
        <f t="shared" si="0"/>
        <v>1854</v>
      </c>
      <c r="F59" s="25"/>
    </row>
    <row r="60" spans="1:6">
      <c r="A60" s="25" t="s">
        <v>511</v>
      </c>
      <c r="B60" s="57" t="s">
        <v>1092</v>
      </c>
      <c r="C60" s="58">
        <v>2</v>
      </c>
      <c r="D60" s="25">
        <v>309</v>
      </c>
      <c r="E60" s="79">
        <f t="shared" si="0"/>
        <v>618</v>
      </c>
      <c r="F60" s="25"/>
    </row>
    <row r="61" spans="1:6">
      <c r="A61" s="25" t="s">
        <v>1112</v>
      </c>
      <c r="B61" s="57" t="s">
        <v>1113</v>
      </c>
      <c r="C61" s="58">
        <v>1</v>
      </c>
      <c r="D61" s="25">
        <v>242</v>
      </c>
      <c r="E61" s="79">
        <f t="shared" si="0"/>
        <v>242</v>
      </c>
      <c r="F61" s="25" t="s">
        <v>512</v>
      </c>
    </row>
    <row r="62" spans="1:6">
      <c r="A62" s="25" t="s">
        <v>1116</v>
      </c>
      <c r="B62" s="48" t="s">
        <v>1080</v>
      </c>
      <c r="C62" s="58">
        <v>2</v>
      </c>
      <c r="D62" s="25">
        <v>365</v>
      </c>
      <c r="E62" s="79">
        <f t="shared" si="0"/>
        <v>730</v>
      </c>
      <c r="F62" s="25" t="s">
        <v>512</v>
      </c>
    </row>
    <row r="63" spans="1:6">
      <c r="A63" s="25" t="s">
        <v>513</v>
      </c>
      <c r="B63" s="57" t="s">
        <v>1092</v>
      </c>
      <c r="C63" s="58">
        <v>1</v>
      </c>
      <c r="D63" s="25">
        <v>309</v>
      </c>
      <c r="E63" s="79">
        <f t="shared" si="0"/>
        <v>309</v>
      </c>
      <c r="F63" s="25"/>
    </row>
    <row r="64" spans="1:6">
      <c r="A64" s="25" t="s">
        <v>1100</v>
      </c>
      <c r="B64" s="57" t="s">
        <v>1092</v>
      </c>
      <c r="C64" s="58">
        <v>2</v>
      </c>
      <c r="D64" s="25">
        <v>309</v>
      </c>
      <c r="E64" s="79">
        <f t="shared" si="0"/>
        <v>618</v>
      </c>
      <c r="F64" s="25"/>
    </row>
    <row r="65" spans="1:6">
      <c r="A65" s="25" t="s">
        <v>1093</v>
      </c>
      <c r="B65" s="57" t="s">
        <v>1092</v>
      </c>
      <c r="C65" s="58">
        <v>2</v>
      </c>
      <c r="D65" s="25">
        <v>309</v>
      </c>
      <c r="E65" s="79">
        <f t="shared" si="0"/>
        <v>618</v>
      </c>
      <c r="F65" s="25"/>
    </row>
    <row r="66" spans="1:6">
      <c r="A66" s="25" t="s">
        <v>1094</v>
      </c>
      <c r="B66" s="57" t="s">
        <v>1092</v>
      </c>
      <c r="C66" s="58">
        <v>2</v>
      </c>
      <c r="D66" s="25">
        <v>309</v>
      </c>
      <c r="E66" s="79">
        <f t="shared" si="0"/>
        <v>618</v>
      </c>
      <c r="F66" s="25"/>
    </row>
    <row r="67" spans="1:6">
      <c r="A67" s="25" t="s">
        <v>1123</v>
      </c>
      <c r="B67" s="57" t="s">
        <v>1124</v>
      </c>
      <c r="C67" s="58">
        <v>9</v>
      </c>
      <c r="D67" s="25">
        <v>309</v>
      </c>
      <c r="E67" s="79">
        <f t="shared" si="0"/>
        <v>2781</v>
      </c>
      <c r="F67" s="25"/>
    </row>
    <row r="68" spans="1:6">
      <c r="A68" s="25" t="s">
        <v>235</v>
      </c>
      <c r="B68" s="57" t="s">
        <v>1091</v>
      </c>
      <c r="C68" s="58">
        <v>4</v>
      </c>
      <c r="D68" s="25">
        <v>361</v>
      </c>
      <c r="E68" s="79">
        <f t="shared" si="0"/>
        <v>1444</v>
      </c>
      <c r="F68" s="25"/>
    </row>
    <row r="69" spans="1:6">
      <c r="A69" s="25" t="s">
        <v>9</v>
      </c>
      <c r="B69" s="57" t="s">
        <v>514</v>
      </c>
      <c r="C69" s="58">
        <v>24</v>
      </c>
      <c r="D69" s="25">
        <v>365</v>
      </c>
      <c r="E69" s="79">
        <f t="shared" si="0"/>
        <v>8760</v>
      </c>
      <c r="F69" s="25"/>
    </row>
    <row r="70" spans="1:6">
      <c r="A70" s="25" t="s">
        <v>515</v>
      </c>
      <c r="B70" s="57" t="s">
        <v>514</v>
      </c>
      <c r="C70" s="58">
        <v>0</v>
      </c>
      <c r="D70" s="25">
        <v>365</v>
      </c>
      <c r="E70" s="79">
        <f t="shared" ref="E70:E72" si="1">ROUNDUP(C70*D70,0)</f>
        <v>0</v>
      </c>
      <c r="F70" s="25"/>
    </row>
    <row r="71" spans="1:6">
      <c r="A71" s="25" t="s">
        <v>325</v>
      </c>
      <c r="B71" s="57" t="s">
        <v>1092</v>
      </c>
      <c r="C71" s="58">
        <v>0</v>
      </c>
      <c r="D71" s="25">
        <v>362</v>
      </c>
      <c r="E71" s="79">
        <f t="shared" si="1"/>
        <v>0</v>
      </c>
      <c r="F71" s="25"/>
    </row>
    <row r="72" spans="1:6">
      <c r="A72" s="25" t="s">
        <v>516</v>
      </c>
      <c r="B72" s="57" t="s">
        <v>514</v>
      </c>
      <c r="C72" s="58">
        <v>24</v>
      </c>
      <c r="D72" s="25">
        <v>0</v>
      </c>
      <c r="E72" s="79">
        <f t="shared" si="1"/>
        <v>0</v>
      </c>
      <c r="F72" s="25" t="s">
        <v>1097</v>
      </c>
    </row>
    <row r="73" spans="1:6">
      <c r="A73" s="73" t="s">
        <v>1090</v>
      </c>
    </row>
  </sheetData>
  <phoneticPr fontId="4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5AAF6-5980-4EA5-AA2C-8225DD1B9ED7}">
  <sheetPr>
    <tabColor rgb="FF00B050"/>
  </sheetPr>
  <dimension ref="A1:O13"/>
  <sheetViews>
    <sheetView tabSelected="1" workbookViewId="0">
      <selection activeCell="A13" sqref="A13:J13"/>
    </sheetView>
  </sheetViews>
  <sheetFormatPr defaultRowHeight="17.649999999999999"/>
  <cols>
    <col min="1" max="1" width="14.625" customWidth="1"/>
    <col min="2" max="10" width="8.0625" customWidth="1"/>
    <col min="11" max="15" width="6.0625" customWidth="1"/>
  </cols>
  <sheetData>
    <row r="1" spans="1:15" ht="21.4">
      <c r="A1" s="22" t="s">
        <v>544</v>
      </c>
      <c r="B1" s="10"/>
      <c r="C1" s="10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7"/>
      <c r="B3" s="6" t="s">
        <v>13</v>
      </c>
      <c r="C3" s="6" t="s">
        <v>1045</v>
      </c>
      <c r="D3" s="6" t="s">
        <v>12</v>
      </c>
      <c r="E3" s="6" t="s">
        <v>116</v>
      </c>
      <c r="F3" s="6" t="s">
        <v>11</v>
      </c>
      <c r="G3" s="6" t="s">
        <v>10</v>
      </c>
      <c r="H3" s="42" t="s">
        <v>1046</v>
      </c>
      <c r="I3" s="26" t="s">
        <v>14</v>
      </c>
      <c r="J3" s="12" t="s">
        <v>473</v>
      </c>
    </row>
    <row r="4" spans="1:15" ht="28.9">
      <c r="A4" s="27" t="s">
        <v>523</v>
      </c>
      <c r="B4" s="28">
        <f>SUMIFS(既設照明器具リスト!$J$4:$J$503,既設照明器具リスト!$B$4:$B$503,"■",既設照明器具リスト!$D$4:$D$503,"屋外",既設照明器具リスト!$E$4:$E$503,"&lt;&gt;誘導灯",既設照明器具リスト!$E$4:$E$503,"&lt;&gt;非常用照明")</f>
        <v>9</v>
      </c>
      <c r="C4" s="28">
        <f>SUMIFS(既設照明器具リスト!$J$4:$J$503,既設照明器具リスト!$B$4:$B$503,"■",既設照明器具リスト!$D$4:$D$503,"B1",既設照明器具リスト!$E$4:$E$503,"&lt;&gt;誘導灯",既設照明器具リスト!$E$4:$E$503,"&lt;&gt;非常用照明")</f>
        <v>71</v>
      </c>
      <c r="D4" s="28">
        <f>SUMIFS(既設照明器具リスト!$J$4:$J$503,既設照明器具リスト!$B$4:$B$503,"■",既設照明器具リスト!$D$4:$D$503,"1F",既設照明器具リスト!$E$4:$E$503,"&lt;&gt;誘導灯",既設照明器具リスト!$E$4:$E$503,"&lt;&gt;非常用照明")</f>
        <v>313</v>
      </c>
      <c r="E4" s="28">
        <f>SUMIFS(既設照明器具リスト!$J$4:$J$503,既設照明器具リスト!$B$4:$B$503,"■",既設照明器具リスト!$D$4:$D$503,"2F",既設照明器具リスト!$E$4:$E$503,"&lt;&gt;誘導灯",既設照明器具リスト!$E$4:$E$503,"&lt;&gt;非常用照明")</f>
        <v>330</v>
      </c>
      <c r="F4" s="28">
        <f>SUMIFS(既設照明器具リスト!$J$4:$J$503,既設照明器具リスト!$B$4:$B$503,"■",既設照明器具リスト!$D$4:$D$503,"3F",既設照明器具リスト!$E$4:$E$503,"&lt;&gt;誘導灯",既設照明器具リスト!$E$4:$E$503,"&lt;&gt;非常用照明")</f>
        <v>216</v>
      </c>
      <c r="G4" s="28">
        <f>SUMIFS(既設照明器具リスト!$J$4:$J$503,既設照明器具リスト!$B$4:$B$503,"■",既設照明器具リスト!$D$4:$D$503,"4F",既設照明器具リスト!$E$4:$E$503,"&lt;&gt;誘導灯",既設照明器具リスト!$E$4:$E$503,"&lt;&gt;非常用照明")</f>
        <v>283</v>
      </c>
      <c r="H4" s="28">
        <f>SUMIFS(既設照明器具リスト!$J$4:$J$503,既設照明器具リスト!$B$4:$B$503,"■",既設照明器具リスト!$D$4:$D$503,"5F",既設照明器具リスト!$E$4:$E$503,"&lt;&gt;誘導灯",既設照明器具リスト!$E$4:$E$503,"&lt;&gt;非常用照明")</f>
        <v>116</v>
      </c>
      <c r="I4" s="67">
        <f>SUMIFS(既設照明器具リスト!$J$4:$J$503,既設照明器具リスト!$B$4:$B$503,"■",既設照明器具リスト!$D$4:$D$503,"PH",既設照明器具リスト!$E$4:$E$503,"&lt;&gt;誘導灯",既設照明器具リスト!$E$4:$E$503,"&lt;&gt;非常用照明")</f>
        <v>46</v>
      </c>
      <c r="J4" s="29">
        <f t="shared" ref="J4:J9" si="0">SUM(B4:I4)</f>
        <v>1384</v>
      </c>
    </row>
    <row r="5" spans="1:15" ht="28.9">
      <c r="A5" s="27" t="s">
        <v>524</v>
      </c>
      <c r="B5" s="28">
        <f>SUMIFS(既設照明器具リスト!$J$4:$J$503,既設照明器具リスト!$B$4:$B$503,"□",既設照明器具リスト!$D$4:$D$503,"屋外",既設照明器具リスト!$E$4:$E$503,"&lt;&gt;誘導灯",既設照明器具リスト!$E$4:$E$503,"&lt;&gt;非常用照明")</f>
        <v>0</v>
      </c>
      <c r="C5" s="28">
        <f>SUMIFS(既設照明器具リスト!$J$4:$J$503,既設照明器具リスト!$B$4:$B$503,"□",既設照明器具リスト!$D$4:$D$503,"B1",既設照明器具リスト!$E$4:$E$503,"&lt;&gt;誘導灯",既設照明器具リスト!$E$4:$E$503,"&lt;&gt;非常用照明")</f>
        <v>1</v>
      </c>
      <c r="D5" s="28">
        <f>SUMIFS(既設照明器具リスト!$J$4:$J$503,既設照明器具リスト!$B$4:$B$503,"□",既設照明器具リスト!$D$4:$D$503,"1F",既設照明器具リスト!$E$4:$E$503,"&lt;&gt;誘導灯",既設照明器具リスト!$E$4:$E$503,"&lt;&gt;非常用照明")</f>
        <v>3</v>
      </c>
      <c r="E5" s="28">
        <f>SUMIFS(既設照明器具リスト!$J$4:$J$503,既設照明器具リスト!$B$4:$B$503,"□",既設照明器具リスト!$D$4:$D$503,"2F",既設照明器具リスト!$E$4:$E$503,"&lt;&gt;誘導灯",既設照明器具リスト!$E$4:$E$503,"&lt;&gt;非常用照明")</f>
        <v>1</v>
      </c>
      <c r="F5" s="28">
        <f>SUMIFS(既設照明器具リスト!$J$4:$J$503,既設照明器具リスト!$B$4:$B$503,"□",既設照明器具リスト!$D$4:$D$503,"3F",既設照明器具リスト!$E$4:$E$503,"&lt;&gt;誘導灯",既設照明器具リスト!$E$4:$E$503,"&lt;&gt;非常用照明")</f>
        <v>88</v>
      </c>
      <c r="G5" s="28">
        <f>SUMIFS(既設照明器具リスト!$J$4:$J$503,既設照明器具リスト!$B$4:$B$503,"□",既設照明器具リスト!$D$4:$D$503,"4F",既設照明器具リスト!$E$4:$E$503,"&lt;&gt;誘導灯",既設照明器具リスト!$E$4:$E$503,"&lt;&gt;非常用照明")</f>
        <v>1</v>
      </c>
      <c r="H5" s="28">
        <f>SUMIFS(既設照明器具リスト!$J$4:$J$503,既設照明器具リスト!$B$4:$B$503,"□",既設照明器具リスト!$D$4:$D$503,"5F",既設照明器具リスト!$E$4:$E$503,"&lt;&gt;誘導灯",既設照明器具リスト!$E$4:$E$503,"&lt;&gt;非常用照明")</f>
        <v>2</v>
      </c>
      <c r="I5" s="67">
        <f>SUMIFS(既設照明器具リスト!$J$4:$J$503,既設照明器具リスト!$B$4:$B$503,"□",既設照明器具リスト!$D$4:$D$503,"PH",既設照明器具リスト!$E$4:$E$503,"&lt;&gt;誘導灯",既設照明器具リスト!$E$4:$E$503,"&lt;&gt;非常用照明")</f>
        <v>33</v>
      </c>
      <c r="J5" s="29">
        <f t="shared" si="0"/>
        <v>129</v>
      </c>
    </row>
    <row r="6" spans="1:15" ht="28.9">
      <c r="A6" s="27" t="s">
        <v>525</v>
      </c>
      <c r="B6" s="28">
        <f>SUMIFS(既設照明器具リスト!$J$4:$J$503,既設照明器具リスト!$B$4:$B$503,"■",既設照明器具リスト!$D$4:$D$503,"屋外",既設照明器具リスト!$E$4:$E$503,"誘導灯")</f>
        <v>0</v>
      </c>
      <c r="C6" s="28">
        <f>SUMIFS(既設照明器具リスト!$J$4:$J$503,既設照明器具リスト!$B$4:$B$503,"■",既設照明器具リスト!$D$4:$D$503,"B1",既設照明器具リスト!$E$4:$E$503,"誘導灯")</f>
        <v>5</v>
      </c>
      <c r="D6" s="28">
        <f>SUMIFS(既設照明器具リスト!$J$4:$J$503,既設照明器具リスト!$B$4:$B$503,"■",既設照明器具リスト!$D$4:$D$503,"1F",既設照明器具リスト!$E$4:$E$503,"誘導灯")</f>
        <v>10</v>
      </c>
      <c r="E6" s="28">
        <f>SUMIFS(既設照明器具リスト!$J$4:$J$503,既設照明器具リスト!$B$4:$B$503,"■",既設照明器具リスト!$D$4:$D$503,"2F",既設照明器具リスト!$E$4:$E$503,"誘導灯")</f>
        <v>9</v>
      </c>
      <c r="F6" s="28">
        <f>SUMIFS(既設照明器具リスト!$J$4:$J$503,既設照明器具リスト!$B$4:$B$503,"■",既設照明器具リスト!$D$4:$D$503,"3F",既設照明器具リスト!$E$4:$E$503,"誘導灯")</f>
        <v>11</v>
      </c>
      <c r="G6" s="28">
        <f>SUMIFS(既設照明器具リスト!$J$4:$J$503,既設照明器具リスト!$B$4:$B$503,"■",既設照明器具リスト!$D$4:$D$503,"4F",既設照明器具リスト!$E$4:$E$503,"誘導灯")</f>
        <v>14</v>
      </c>
      <c r="H6" s="28">
        <f>SUMIFS(既設照明器具リスト!$J$4:$J$503,既設照明器具リスト!$B$4:$B$503,"■",既設照明器具リスト!$D$4:$D$503,"5F",既設照明器具リスト!$E$4:$E$503,"誘導灯")</f>
        <v>7</v>
      </c>
      <c r="I6" s="67">
        <f>SUMIFS(既設照明器具リスト!$J$4:$J$503,既設照明器具リスト!$B$4:$B$503,"■",既設照明器具リスト!$D$4:$D$503,"PH",既設照明器具リスト!$E$4:$E$503,"誘導灯")</f>
        <v>0</v>
      </c>
      <c r="J6" s="29">
        <f t="shared" si="0"/>
        <v>56</v>
      </c>
    </row>
    <row r="7" spans="1:15" ht="28.9">
      <c r="A7" s="27" t="s">
        <v>1117</v>
      </c>
      <c r="B7" s="28">
        <f>SUMIFS(既設照明器具リスト!$J$4:$J$503,既設照明器具リスト!$B$4:$B$503,"□",既設照明器具リスト!$D$4:$D$503,"屋外",既設照明器具リスト!$E$4:$E$503,"誘導灯")</f>
        <v>0</v>
      </c>
      <c r="C7" s="28">
        <f>SUMIFS(既設照明器具リスト!$J$4:$J$503,既設照明器具リスト!$B$4:$B$503,"□",既設照明器具リスト!$D$4:$D$503,"B1",既設照明器具リスト!$E$4:$E$503,"誘導灯")</f>
        <v>0</v>
      </c>
      <c r="D7" s="28">
        <f>SUMIFS(既設照明器具リスト!$J$4:$J$503,既設照明器具リスト!$B$4:$B$503,"□",既設照明器具リスト!$D$4:$D$503,"1F",既設照明器具リスト!$E$4:$E$503,"誘導灯")</f>
        <v>1</v>
      </c>
      <c r="E7" s="28">
        <f>SUMIFS(既設照明器具リスト!$J$4:$J$503,既設照明器具リスト!$B$4:$B$503,"□",既設照明器具リスト!$D$4:$D$503,"2F",既設照明器具リスト!$E$4:$E$503,"誘導灯")</f>
        <v>1</v>
      </c>
      <c r="F7" s="28">
        <f>SUMIFS(既設照明器具リスト!$J$4:$J$503,既設照明器具リスト!$B$4:$B$503,"□",既設照明器具リスト!$D$4:$D$503,"3F",既設照明器具リスト!$E$4:$E$503,"誘導灯")</f>
        <v>1</v>
      </c>
      <c r="G7" s="28">
        <f>SUMIFS(既設照明器具リスト!$J$4:$J$503,既設照明器具リスト!$B$4:$B$503,"□",既設照明器具リスト!$D$4:$D$503,"4F",既設照明器具リスト!$E$4:$E$503,"誘導灯")</f>
        <v>0</v>
      </c>
      <c r="H7" s="28">
        <f>SUMIFS(既設照明器具リスト!$J$4:$J$503,既設照明器具リスト!$B$4:$B$503,"□",既設照明器具リスト!$D$4:$D$503,"5F",既設照明器具リスト!$E$4:$E$503,"誘導灯")</f>
        <v>0</v>
      </c>
      <c r="I7" s="67">
        <f>SUMIFS(既設照明器具リスト!$J$4:$J$503,既設照明器具リスト!$B$4:$B$503,"□",既設照明器具リスト!$D$4:$D$503,"PH",既設照明器具リスト!$E$4:$E$503,"誘導灯")</f>
        <v>0</v>
      </c>
      <c r="J7" s="29">
        <f t="shared" si="0"/>
        <v>3</v>
      </c>
    </row>
    <row r="8" spans="1:15" ht="28.9">
      <c r="A8" s="60" t="s">
        <v>526</v>
      </c>
      <c r="B8" s="28">
        <f>SUMIFS(既設照明器具リスト!$J$4:$J$503,既設照明器具リスト!$B$4:$B$503,"■",既設照明器具リスト!$D$4:$D$503,"屋外",既設照明器具リスト!$E$4:$E$503,"非常用照明")</f>
        <v>0</v>
      </c>
      <c r="C8" s="28">
        <f>SUMIFS(既設照明器具リスト!$J$4:$J$503,既設照明器具リスト!$B$4:$B$503,"■",既設照明器具リスト!$D$4:$D$503,"B1",既設照明器具リスト!$E$4:$E$503,"非常用照明")</f>
        <v>6</v>
      </c>
      <c r="D8" s="28">
        <f>SUMIFS(既設照明器具リスト!$J$4:$J$503,既設照明器具リスト!$B$4:$B$503,"■",既設照明器具リスト!$D$4:$D$503,"1F",既設照明器具リスト!$E$4:$E$503,"非常用照明")</f>
        <v>45</v>
      </c>
      <c r="E8" s="28">
        <f>SUMIFS(既設照明器具リスト!$J$4:$J$503,既設照明器具リスト!$B$4:$B$503,"■",既設照明器具リスト!$D$4:$D$503,"2F",既設照明器具リスト!$E$4:$E$503,"非常用照明")</f>
        <v>26</v>
      </c>
      <c r="F8" s="28">
        <f>SUMIFS(既設照明器具リスト!$J$4:$J$503,既設照明器具リスト!$B$4:$B$503,"■",既設照明器具リスト!$D$4:$D$503,"3F",既設照明器具リスト!$E$4:$E$503,"非常用照明")</f>
        <v>22</v>
      </c>
      <c r="G8" s="28">
        <f>SUMIFS(既設照明器具リスト!$J$4:$J$503,既設照明器具リスト!$B$4:$B$503,"■",既設照明器具リスト!$D$4:$D$503,"4F",既設照明器具リスト!$E$4:$E$503,"非常用照明")</f>
        <v>33</v>
      </c>
      <c r="H8" s="28">
        <f>SUMIFS(既設照明器具リスト!$J$4:$J$503,既設照明器具リスト!$B$4:$B$503,"■",既設照明器具リスト!$D$4:$D$503,"5F",既設照明器具リスト!$E$4:$E$503,"非常用照明")</f>
        <v>15</v>
      </c>
      <c r="I8" s="67">
        <f>SUMIFS(既設照明器具リスト!$J$4:$J$503,既設照明器具リスト!$B$4:$B$503,"■",既設照明器具リスト!$D$4:$D$503,"PH",既設照明器具リスト!$E$4:$E$503,"非常用照明")</f>
        <v>12</v>
      </c>
      <c r="J8" s="61">
        <f t="shared" si="0"/>
        <v>159</v>
      </c>
    </row>
    <row r="9" spans="1:15" ht="29.25" thickBot="1">
      <c r="A9" s="30" t="s">
        <v>1118</v>
      </c>
      <c r="B9" s="66">
        <f>SUMIFS(既設照明器具リスト!$J$4:$J$503,既設照明器具リスト!$B$4:$B$503,"□",既設照明器具リスト!$D$4:$D$503,"屋外",既設照明器具リスト!$E$4:$E$503,"非常用照明")</f>
        <v>0</v>
      </c>
      <c r="C9" s="66">
        <f>SUMIFS(既設照明器具リスト!$J$4:$J$503,既設照明器具リスト!$B$4:$B$503,"□",既設照明器具リスト!$D$4:$D$503,"B1",既設照明器具リスト!$E$4:$E$503,"非常用照明")</f>
        <v>0</v>
      </c>
      <c r="D9" s="66">
        <f>SUMIFS(既設照明器具リスト!$J$4:$J$503,既設照明器具リスト!$B$4:$B$503,"□",既設照明器具リスト!$D$4:$D$503,"1F",既設照明器具リスト!$E$4:$E$503,"非常用照明")</f>
        <v>0</v>
      </c>
      <c r="E9" s="66">
        <f>SUMIFS(既設照明器具リスト!$J$4:$J$503,既設照明器具リスト!$B$4:$B$503,"□",既設照明器具リスト!$D$4:$D$503,"2F",既設照明器具リスト!$E$4:$E$503,"非常用照明")</f>
        <v>0</v>
      </c>
      <c r="F9" s="66">
        <f>SUMIFS(既設照明器具リスト!$J$4:$J$503,既設照明器具リスト!$B$4:$B$503,"□",既設照明器具リスト!$D$4:$D$503,"3F",既設照明器具リスト!$E$4:$E$503,"非常用照明")</f>
        <v>0</v>
      </c>
      <c r="G9" s="66">
        <f>SUMIFS(既設照明器具リスト!$J$4:$J$503,既設照明器具リスト!$B$4:$B$503,"□",既設照明器具リスト!$D$4:$D$503,"4F",既設照明器具リスト!$E$4:$E$503,"非常用照明")</f>
        <v>0</v>
      </c>
      <c r="H9" s="66">
        <f>SUMIFS(既設照明器具リスト!$J$4:$J$503,既設照明器具リスト!$B$4:$B$503,"□",既設照明器具リスト!$D$4:$D$503,"5F",既設照明器具リスト!$E$4:$E$503,"非常用照明")</f>
        <v>0</v>
      </c>
      <c r="I9" s="68">
        <f>SUMIFS(既設照明器具リスト!$J$4:$J$503,既設照明器具リスト!$B$4:$B$503,"□",既設照明器具リスト!$D$4:$D$503,"PH",既設照明器具リスト!$E$4:$E$503,"非常用照明")</f>
        <v>0</v>
      </c>
      <c r="J9" s="31">
        <f t="shared" si="0"/>
        <v>0</v>
      </c>
    </row>
    <row r="10" spans="1:15" ht="29.25" thickTop="1">
      <c r="A10" s="62" t="s">
        <v>1119</v>
      </c>
      <c r="B10" s="64">
        <f>B4+B6+B8</f>
        <v>9</v>
      </c>
      <c r="C10" s="64">
        <f t="shared" ref="C10:J11" si="1">C4+C6+C8</f>
        <v>82</v>
      </c>
      <c r="D10" s="64">
        <f t="shared" si="1"/>
        <v>368</v>
      </c>
      <c r="E10" s="64">
        <f t="shared" si="1"/>
        <v>365</v>
      </c>
      <c r="F10" s="64">
        <f t="shared" si="1"/>
        <v>249</v>
      </c>
      <c r="G10" s="64">
        <f t="shared" si="1"/>
        <v>330</v>
      </c>
      <c r="H10" s="64">
        <f t="shared" si="1"/>
        <v>138</v>
      </c>
      <c r="I10" s="65">
        <f t="shared" si="1"/>
        <v>58</v>
      </c>
      <c r="J10" s="63">
        <f t="shared" si="1"/>
        <v>1599</v>
      </c>
    </row>
    <row r="11" spans="1:15" ht="28.9">
      <c r="A11" s="27" t="s">
        <v>1120</v>
      </c>
      <c r="B11" s="28">
        <f>B5+B7+B9</f>
        <v>0</v>
      </c>
      <c r="C11" s="28">
        <f t="shared" si="1"/>
        <v>1</v>
      </c>
      <c r="D11" s="28">
        <f t="shared" si="1"/>
        <v>4</v>
      </c>
      <c r="E11" s="28">
        <f t="shared" si="1"/>
        <v>2</v>
      </c>
      <c r="F11" s="28">
        <f t="shared" si="1"/>
        <v>89</v>
      </c>
      <c r="G11" s="28">
        <f t="shared" si="1"/>
        <v>1</v>
      </c>
      <c r="H11" s="28">
        <f t="shared" si="1"/>
        <v>2</v>
      </c>
      <c r="I11" s="67">
        <f t="shared" si="1"/>
        <v>33</v>
      </c>
      <c r="J11" s="29">
        <f t="shared" si="1"/>
        <v>132</v>
      </c>
    </row>
    <row r="12" spans="1:15" ht="29" customHeight="1">
      <c r="A12" s="69" t="s">
        <v>1121</v>
      </c>
      <c r="B12" s="28">
        <f>SUM(B4:B9)</f>
        <v>9</v>
      </c>
      <c r="C12" s="28">
        <f t="shared" ref="C12:J12" si="2">SUM(C4:C9)</f>
        <v>83</v>
      </c>
      <c r="D12" s="28">
        <f t="shared" si="2"/>
        <v>372</v>
      </c>
      <c r="E12" s="28">
        <f t="shared" si="2"/>
        <v>367</v>
      </c>
      <c r="F12" s="28">
        <f t="shared" si="2"/>
        <v>338</v>
      </c>
      <c r="G12" s="28">
        <f t="shared" si="2"/>
        <v>331</v>
      </c>
      <c r="H12" s="28">
        <f t="shared" si="2"/>
        <v>140</v>
      </c>
      <c r="I12" s="28">
        <f t="shared" si="2"/>
        <v>91</v>
      </c>
      <c r="J12" s="28">
        <f t="shared" si="2"/>
        <v>1731</v>
      </c>
    </row>
    <row r="13" spans="1:15" ht="28.15" customHeight="1">
      <c r="A13" s="84" t="s">
        <v>1128</v>
      </c>
      <c r="B13" s="84"/>
      <c r="C13" s="84"/>
      <c r="D13" s="84"/>
      <c r="E13" s="84"/>
      <c r="F13" s="84"/>
      <c r="G13" s="84"/>
      <c r="H13" s="84"/>
      <c r="I13" s="84"/>
      <c r="J13" s="84"/>
    </row>
  </sheetData>
  <mergeCells count="1">
    <mergeCell ref="A13:J13"/>
  </mergeCells>
  <phoneticPr fontId="4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08CD3-C70B-406C-AC09-E5F5D98E72ED}">
  <sheetPr>
    <tabColor rgb="FF00B050"/>
  </sheetPr>
  <dimension ref="A1:O504"/>
  <sheetViews>
    <sheetView view="pageBreakPreview" zoomScaleNormal="80" zoomScaleSheetLayoutView="100" workbookViewId="0">
      <pane xSplit="1" ySplit="3" topLeftCell="B487" activePane="bottomRight" state="frozen"/>
      <selection activeCell="F56" sqref="F56"/>
      <selection pane="topRight" activeCell="F56" sqref="F56"/>
      <selection pane="bottomLeft" activeCell="F56" sqref="F56"/>
      <selection pane="bottomRight" activeCell="O508" sqref="O508"/>
    </sheetView>
  </sheetViews>
  <sheetFormatPr defaultRowHeight="17.649999999999999"/>
  <cols>
    <col min="1" max="2" width="6.5625" customWidth="1"/>
    <col min="3" max="3" width="9.6875" customWidth="1"/>
    <col min="4" max="4" width="4.5625" customWidth="1"/>
    <col min="5" max="5" width="25.5625" customWidth="1"/>
    <col min="6" max="6" width="26.8125" customWidth="1"/>
    <col min="7" max="7" width="20.75" customWidth="1"/>
    <col min="8" max="8" width="4.8125" customWidth="1"/>
    <col min="9" max="9" width="27.8125" customWidth="1"/>
    <col min="10" max="10" width="4.625" customWidth="1"/>
    <col min="11" max="11" width="10.4375" customWidth="1"/>
    <col min="12" max="12" width="12" hidden="1" customWidth="1"/>
    <col min="13" max="13" width="10.4375" customWidth="1"/>
    <col min="15" max="15" width="14.375" style="80" customWidth="1"/>
  </cols>
  <sheetData>
    <row r="1" spans="1:15" ht="21.4">
      <c r="A1" s="10" t="s">
        <v>1125</v>
      </c>
      <c r="B1" s="10"/>
    </row>
    <row r="3" spans="1:15" ht="28.9">
      <c r="A3" s="6" t="s">
        <v>0</v>
      </c>
      <c r="B3" s="27" t="s">
        <v>527</v>
      </c>
      <c r="C3" s="6" t="s">
        <v>8</v>
      </c>
      <c r="D3" s="6" t="s">
        <v>1</v>
      </c>
      <c r="E3" s="6" t="s">
        <v>528</v>
      </c>
      <c r="F3" s="6" t="s">
        <v>7</v>
      </c>
      <c r="G3" s="6" t="s">
        <v>2</v>
      </c>
      <c r="H3" s="6" t="s">
        <v>3</v>
      </c>
      <c r="I3" s="6" t="s">
        <v>5</v>
      </c>
      <c r="J3" s="6" t="s">
        <v>4</v>
      </c>
      <c r="K3" s="27" t="s">
        <v>529</v>
      </c>
      <c r="L3" s="6" t="s">
        <v>519</v>
      </c>
      <c r="M3" s="27" t="s">
        <v>530</v>
      </c>
      <c r="N3" s="6" t="s">
        <v>531</v>
      </c>
      <c r="O3" s="81" t="s">
        <v>1122</v>
      </c>
    </row>
    <row r="4" spans="1:15">
      <c r="A4" s="7" t="s">
        <v>545</v>
      </c>
      <c r="B4" s="6" t="s">
        <v>532</v>
      </c>
      <c r="C4" s="74" t="s">
        <v>232</v>
      </c>
      <c r="D4" s="7" t="s">
        <v>13</v>
      </c>
      <c r="E4" s="7" t="s">
        <v>235</v>
      </c>
      <c r="F4" s="7" t="s">
        <v>234</v>
      </c>
      <c r="G4" s="7" t="s">
        <v>444</v>
      </c>
      <c r="H4" s="70">
        <v>1</v>
      </c>
      <c r="I4" s="71" t="s">
        <v>235</v>
      </c>
      <c r="J4" s="32">
        <v>5</v>
      </c>
      <c r="K4" s="33">
        <f>VLOOKUP(E4,照明設備稼働時間!$A$4:$F$72,5,FALSE)</f>
        <v>1444</v>
      </c>
      <c r="L4" s="33" t="str">
        <f t="shared" ref="L4:L67" si="0">G4&amp;H4&amp;I4</f>
        <v>MT150W1外灯</v>
      </c>
      <c r="M4" s="33">
        <f>VLOOKUP(L4,照明器具一覧!$B$4:$F$155,5,FALSE)</f>
        <v>165</v>
      </c>
      <c r="N4" s="7">
        <v>1</v>
      </c>
      <c r="O4" s="82">
        <f t="shared" ref="O4:O67" si="1">(J4*K4*M4*N4)/1000</f>
        <v>1191.3</v>
      </c>
    </row>
    <row r="5" spans="1:15">
      <c r="A5" s="7" t="s">
        <v>546</v>
      </c>
      <c r="B5" s="6" t="s">
        <v>532</v>
      </c>
      <c r="C5" s="74" t="s">
        <v>233</v>
      </c>
      <c r="D5" s="7" t="s">
        <v>13</v>
      </c>
      <c r="E5" s="7" t="s">
        <v>235</v>
      </c>
      <c r="F5" s="7" t="s">
        <v>234</v>
      </c>
      <c r="G5" s="7" t="s">
        <v>445</v>
      </c>
      <c r="H5" s="70">
        <v>1</v>
      </c>
      <c r="I5" s="71" t="s">
        <v>235</v>
      </c>
      <c r="J5" s="32">
        <v>4</v>
      </c>
      <c r="K5" s="33">
        <f>VLOOKUP(E5,照明設備稼働時間!$A$4:$F$72,5,FALSE)</f>
        <v>1444</v>
      </c>
      <c r="L5" s="33" t="str">
        <f t="shared" si="0"/>
        <v>MF200W1外灯</v>
      </c>
      <c r="M5" s="33">
        <f>VLOOKUP(L5,照明器具一覧!$B$4:$F$155,5,FALSE)</f>
        <v>220</v>
      </c>
      <c r="N5" s="7">
        <v>1</v>
      </c>
      <c r="O5" s="82">
        <f t="shared" si="1"/>
        <v>1270.72</v>
      </c>
    </row>
    <row r="6" spans="1:15">
      <c r="A6" s="7" t="s">
        <v>547</v>
      </c>
      <c r="B6" s="6" t="s">
        <v>532</v>
      </c>
      <c r="C6" s="74" t="s">
        <v>16</v>
      </c>
      <c r="D6" s="75" t="s">
        <v>17</v>
      </c>
      <c r="E6" s="7" t="s">
        <v>513</v>
      </c>
      <c r="F6" s="76" t="s">
        <v>29</v>
      </c>
      <c r="G6" s="72" t="s">
        <v>38</v>
      </c>
      <c r="H6" s="34">
        <v>2</v>
      </c>
      <c r="I6" s="71" t="s">
        <v>356</v>
      </c>
      <c r="J6" s="32">
        <v>8</v>
      </c>
      <c r="K6" s="33">
        <f>VLOOKUP(E6,照明設備稼働時間!$A$4:$F$72,5,FALSE)</f>
        <v>309</v>
      </c>
      <c r="L6" s="33" t="str">
        <f t="shared" si="0"/>
        <v>FL40W2逆富士</v>
      </c>
      <c r="M6" s="33">
        <f>VLOOKUP(L6,照明器具一覧!$B$4:$F$155,5,FALSE)</f>
        <v>94</v>
      </c>
      <c r="N6" s="7">
        <v>1</v>
      </c>
      <c r="O6" s="82">
        <f t="shared" si="1"/>
        <v>232.36799999999999</v>
      </c>
    </row>
    <row r="7" spans="1:15">
      <c r="A7" s="7" t="s">
        <v>548</v>
      </c>
      <c r="B7" s="6" t="s">
        <v>532</v>
      </c>
      <c r="C7" s="74" t="s">
        <v>16</v>
      </c>
      <c r="D7" s="75" t="s">
        <v>17</v>
      </c>
      <c r="E7" s="7" t="s">
        <v>513</v>
      </c>
      <c r="F7" s="76" t="s">
        <v>30</v>
      </c>
      <c r="G7" s="72" t="s">
        <v>38</v>
      </c>
      <c r="H7" s="34">
        <v>2</v>
      </c>
      <c r="I7" s="71" t="s">
        <v>356</v>
      </c>
      <c r="J7" s="32">
        <v>4</v>
      </c>
      <c r="K7" s="33">
        <f>VLOOKUP(E7,照明設備稼働時間!$A$4:$F$72,5,FALSE)</f>
        <v>309</v>
      </c>
      <c r="L7" s="33" t="str">
        <f t="shared" si="0"/>
        <v>FL40W2逆富士</v>
      </c>
      <c r="M7" s="33">
        <f>VLOOKUP(L7,照明器具一覧!$B$4:$F$155,5,FALSE)</f>
        <v>94</v>
      </c>
      <c r="N7" s="7">
        <v>1</v>
      </c>
      <c r="O7" s="82">
        <f t="shared" si="1"/>
        <v>116.184</v>
      </c>
    </row>
    <row r="8" spans="1:15">
      <c r="A8" s="7" t="s">
        <v>549</v>
      </c>
      <c r="B8" s="6" t="s">
        <v>532</v>
      </c>
      <c r="C8" s="74" t="s">
        <v>437</v>
      </c>
      <c r="D8" s="75" t="s">
        <v>17</v>
      </c>
      <c r="E8" s="7" t="s">
        <v>1078</v>
      </c>
      <c r="F8" s="76" t="s">
        <v>31</v>
      </c>
      <c r="G8" s="72" t="s">
        <v>38</v>
      </c>
      <c r="H8" s="34">
        <v>1</v>
      </c>
      <c r="I8" s="71" t="s">
        <v>356</v>
      </c>
      <c r="J8" s="32">
        <v>5</v>
      </c>
      <c r="K8" s="33">
        <f>VLOOKUP(E8,照明設備稼働時間!$A$4:$F$72,5,FALSE)</f>
        <v>4665</v>
      </c>
      <c r="L8" s="33" t="str">
        <f t="shared" si="0"/>
        <v>FL40W1逆富士</v>
      </c>
      <c r="M8" s="33">
        <f>VLOOKUP(L8,照明器具一覧!$B$4:$F$155,5,FALSE)</f>
        <v>47</v>
      </c>
      <c r="N8" s="7">
        <v>1</v>
      </c>
      <c r="O8" s="82">
        <f t="shared" si="1"/>
        <v>1096.2750000000001</v>
      </c>
    </row>
    <row r="9" spans="1:15">
      <c r="A9" s="7" t="s">
        <v>550</v>
      </c>
      <c r="B9" s="6" t="s">
        <v>532</v>
      </c>
      <c r="C9" s="74" t="s">
        <v>438</v>
      </c>
      <c r="D9" s="75" t="s">
        <v>17</v>
      </c>
      <c r="E9" s="7" t="s">
        <v>1078</v>
      </c>
      <c r="F9" s="76" t="s">
        <v>31</v>
      </c>
      <c r="G9" s="72" t="s">
        <v>38</v>
      </c>
      <c r="H9" s="34">
        <v>1</v>
      </c>
      <c r="I9" s="71" t="s">
        <v>436</v>
      </c>
      <c r="J9" s="32">
        <v>7</v>
      </c>
      <c r="K9" s="33">
        <f>VLOOKUP(E9,照明設備稼働時間!$A$4:$F$72,5,FALSE)</f>
        <v>4665</v>
      </c>
      <c r="L9" s="33" t="str">
        <f t="shared" si="0"/>
        <v>FL40W1笠付　パイプ吊</v>
      </c>
      <c r="M9" s="33">
        <f>VLOOKUP(L9,照明器具一覧!$B$4:$F$155,5,FALSE)</f>
        <v>47</v>
      </c>
      <c r="N9" s="7">
        <v>1</v>
      </c>
      <c r="O9" s="82">
        <f t="shared" si="1"/>
        <v>1534.7850000000001</v>
      </c>
    </row>
    <row r="10" spans="1:15">
      <c r="A10" s="7" t="s">
        <v>551</v>
      </c>
      <c r="B10" s="6" t="s">
        <v>532</v>
      </c>
      <c r="C10" s="74" t="s">
        <v>439</v>
      </c>
      <c r="D10" s="75" t="s">
        <v>17</v>
      </c>
      <c r="E10" s="7" t="s">
        <v>1078</v>
      </c>
      <c r="F10" s="76" t="s">
        <v>31</v>
      </c>
      <c r="G10" s="72" t="s">
        <v>38</v>
      </c>
      <c r="H10" s="34">
        <v>1</v>
      </c>
      <c r="I10" s="71" t="s">
        <v>358</v>
      </c>
      <c r="J10" s="32">
        <v>2</v>
      </c>
      <c r="K10" s="33">
        <f>VLOOKUP(E10,照明設備稼働時間!$A$4:$F$72,5,FALSE)</f>
        <v>4665</v>
      </c>
      <c r="L10" s="33" t="str">
        <f t="shared" si="0"/>
        <v>FL40W1笠付</v>
      </c>
      <c r="M10" s="33">
        <f>VLOOKUP(L10,照明器具一覧!$B$4:$F$155,5,FALSE)</f>
        <v>47</v>
      </c>
      <c r="N10" s="7">
        <v>1</v>
      </c>
      <c r="O10" s="82">
        <f t="shared" si="1"/>
        <v>438.51</v>
      </c>
    </row>
    <row r="11" spans="1:15">
      <c r="A11" s="7" t="s">
        <v>552</v>
      </c>
      <c r="B11" s="6" t="s">
        <v>532</v>
      </c>
      <c r="C11" s="74" t="s">
        <v>440</v>
      </c>
      <c r="D11" s="75" t="s">
        <v>17</v>
      </c>
      <c r="E11" s="7" t="s">
        <v>1078</v>
      </c>
      <c r="F11" s="76" t="s">
        <v>31</v>
      </c>
      <c r="G11" s="72" t="s">
        <v>38</v>
      </c>
      <c r="H11" s="34">
        <v>2</v>
      </c>
      <c r="I11" s="71" t="s">
        <v>358</v>
      </c>
      <c r="J11" s="32">
        <v>1</v>
      </c>
      <c r="K11" s="33">
        <f>VLOOKUP(E11,照明設備稼働時間!$A$4:$F$72,5,FALSE)</f>
        <v>4665</v>
      </c>
      <c r="L11" s="33" t="str">
        <f t="shared" si="0"/>
        <v>FL40W2笠付</v>
      </c>
      <c r="M11" s="33">
        <f>VLOOKUP(L11,照明器具一覧!$B$4:$F$155,5,FALSE)</f>
        <v>94</v>
      </c>
      <c r="N11" s="7">
        <v>1</v>
      </c>
      <c r="O11" s="82">
        <f t="shared" si="1"/>
        <v>438.51</v>
      </c>
    </row>
    <row r="12" spans="1:15">
      <c r="A12" s="7" t="s">
        <v>553</v>
      </c>
      <c r="B12" s="6" t="s">
        <v>532</v>
      </c>
      <c r="C12" s="74" t="s">
        <v>441</v>
      </c>
      <c r="D12" s="75" t="s">
        <v>17</v>
      </c>
      <c r="E12" s="7" t="s">
        <v>1078</v>
      </c>
      <c r="F12" s="76" t="s">
        <v>31</v>
      </c>
      <c r="G12" s="72" t="s">
        <v>293</v>
      </c>
      <c r="H12" s="34">
        <v>2</v>
      </c>
      <c r="I12" s="71" t="s">
        <v>435</v>
      </c>
      <c r="J12" s="32">
        <v>4</v>
      </c>
      <c r="K12" s="33">
        <f>VLOOKUP(E12,照明設備稼働時間!$A$4:$F$72,5,FALSE)</f>
        <v>4665</v>
      </c>
      <c r="L12" s="33" t="str">
        <f t="shared" si="0"/>
        <v>FL40SW ＋PIL100V40WS35E172笠付　非常照明付　電池内蔵</v>
      </c>
      <c r="M12" s="33">
        <f>VLOOKUP(L12,照明器具一覧!$B$4:$F$155,5,FALSE)</f>
        <v>94</v>
      </c>
      <c r="N12" s="7">
        <v>1</v>
      </c>
      <c r="O12" s="82">
        <f t="shared" si="1"/>
        <v>1754.04</v>
      </c>
    </row>
    <row r="13" spans="1:15">
      <c r="A13" s="7" t="s">
        <v>554</v>
      </c>
      <c r="B13" s="6" t="s">
        <v>532</v>
      </c>
      <c r="C13" s="74" t="s">
        <v>20</v>
      </c>
      <c r="D13" s="75" t="s">
        <v>17</v>
      </c>
      <c r="E13" s="7" t="s">
        <v>1093</v>
      </c>
      <c r="F13" s="76" t="s">
        <v>32</v>
      </c>
      <c r="G13" s="72" t="s">
        <v>38</v>
      </c>
      <c r="H13" s="34">
        <v>2</v>
      </c>
      <c r="I13" s="71" t="s">
        <v>358</v>
      </c>
      <c r="J13" s="32">
        <v>2</v>
      </c>
      <c r="K13" s="33">
        <f>VLOOKUP(E13,照明設備稼働時間!$A$4:$F$72,5,FALSE)</f>
        <v>618</v>
      </c>
      <c r="L13" s="33" t="str">
        <f t="shared" si="0"/>
        <v>FL40W2笠付</v>
      </c>
      <c r="M13" s="33">
        <f>VLOOKUP(L13,照明器具一覧!$B$4:$F$155,5,FALSE)</f>
        <v>94</v>
      </c>
      <c r="N13" s="7">
        <v>1</v>
      </c>
      <c r="O13" s="82">
        <f t="shared" si="1"/>
        <v>116.184</v>
      </c>
    </row>
    <row r="14" spans="1:15">
      <c r="A14" s="7" t="s">
        <v>555</v>
      </c>
      <c r="B14" s="6" t="s">
        <v>532</v>
      </c>
      <c r="C14" s="74" t="s">
        <v>21</v>
      </c>
      <c r="D14" s="75" t="s">
        <v>17</v>
      </c>
      <c r="E14" s="7" t="s">
        <v>1093</v>
      </c>
      <c r="F14" s="76" t="s">
        <v>32</v>
      </c>
      <c r="G14" s="72" t="s">
        <v>38</v>
      </c>
      <c r="H14" s="34">
        <v>1</v>
      </c>
      <c r="I14" s="71" t="s">
        <v>358</v>
      </c>
      <c r="J14" s="32">
        <v>5</v>
      </c>
      <c r="K14" s="33">
        <f>VLOOKUP(E14,照明設備稼働時間!$A$4:$F$72,5,FALSE)</f>
        <v>618</v>
      </c>
      <c r="L14" s="33" t="str">
        <f t="shared" si="0"/>
        <v>FL40W1笠付</v>
      </c>
      <c r="M14" s="33">
        <f>VLOOKUP(L14,照明器具一覧!$B$4:$F$155,5,FALSE)</f>
        <v>47</v>
      </c>
      <c r="N14" s="7">
        <v>1</v>
      </c>
      <c r="O14" s="82">
        <f t="shared" si="1"/>
        <v>145.22999999999999</v>
      </c>
    </row>
    <row r="15" spans="1:15">
      <c r="A15" s="7" t="s">
        <v>556</v>
      </c>
      <c r="B15" s="6" t="s">
        <v>532</v>
      </c>
      <c r="C15" s="74" t="s">
        <v>22</v>
      </c>
      <c r="D15" s="75" t="s">
        <v>17</v>
      </c>
      <c r="E15" s="7" t="s">
        <v>1094</v>
      </c>
      <c r="F15" s="76" t="s">
        <v>33</v>
      </c>
      <c r="G15" s="72" t="s">
        <v>38</v>
      </c>
      <c r="H15" s="34">
        <v>1</v>
      </c>
      <c r="I15" s="71" t="s">
        <v>358</v>
      </c>
      <c r="J15" s="32">
        <v>9</v>
      </c>
      <c r="K15" s="33">
        <f>VLOOKUP(E15,照明設備稼働時間!$A$4:$F$72,5,FALSE)</f>
        <v>618</v>
      </c>
      <c r="L15" s="33" t="str">
        <f t="shared" si="0"/>
        <v>FL40W1笠付</v>
      </c>
      <c r="M15" s="33">
        <f>VLOOKUP(L15,照明器具一覧!$B$4:$F$155,5,FALSE)</f>
        <v>47</v>
      </c>
      <c r="N15" s="7">
        <v>1</v>
      </c>
      <c r="O15" s="82">
        <f t="shared" si="1"/>
        <v>261.41399999999999</v>
      </c>
    </row>
    <row r="16" spans="1:15">
      <c r="A16" s="7" t="s">
        <v>557</v>
      </c>
      <c r="B16" s="6" t="s">
        <v>532</v>
      </c>
      <c r="C16" s="74" t="s">
        <v>23</v>
      </c>
      <c r="D16" s="75" t="s">
        <v>17</v>
      </c>
      <c r="E16" s="7" t="s">
        <v>1094</v>
      </c>
      <c r="F16" s="76" t="s">
        <v>33</v>
      </c>
      <c r="G16" s="72" t="s">
        <v>350</v>
      </c>
      <c r="H16" s="34">
        <v>1</v>
      </c>
      <c r="I16" s="71" t="s">
        <v>358</v>
      </c>
      <c r="J16" s="32">
        <v>5</v>
      </c>
      <c r="K16" s="33">
        <f>VLOOKUP(E16,照明設備稼働時間!$A$4:$F$72,5,FALSE)</f>
        <v>618</v>
      </c>
      <c r="L16" s="33" t="str">
        <f t="shared" si="0"/>
        <v>FL40W ＋PIL100V40WS35E171笠付</v>
      </c>
      <c r="M16" s="33">
        <f>VLOOKUP(L16,照明器具一覧!$B$4:$F$155,5,FALSE)</f>
        <v>47</v>
      </c>
      <c r="N16" s="7">
        <v>1</v>
      </c>
      <c r="O16" s="82">
        <f t="shared" si="1"/>
        <v>145.22999999999999</v>
      </c>
    </row>
    <row r="17" spans="1:15">
      <c r="A17" s="7" t="s">
        <v>558</v>
      </c>
      <c r="B17" s="6" t="s">
        <v>532</v>
      </c>
      <c r="C17" s="74" t="s">
        <v>20</v>
      </c>
      <c r="D17" s="75" t="s">
        <v>17</v>
      </c>
      <c r="E17" s="7" t="s">
        <v>1094</v>
      </c>
      <c r="F17" s="76" t="s">
        <v>34</v>
      </c>
      <c r="G17" s="72" t="s">
        <v>38</v>
      </c>
      <c r="H17" s="34">
        <v>2</v>
      </c>
      <c r="I17" s="71" t="s">
        <v>358</v>
      </c>
      <c r="J17" s="32">
        <v>1</v>
      </c>
      <c r="K17" s="33">
        <f>VLOOKUP(E17,照明設備稼働時間!$A$4:$F$72,5,FALSE)</f>
        <v>618</v>
      </c>
      <c r="L17" s="33" t="str">
        <f t="shared" si="0"/>
        <v>FL40W2笠付</v>
      </c>
      <c r="M17" s="33">
        <f>VLOOKUP(L17,照明器具一覧!$B$4:$F$155,5,FALSE)</f>
        <v>94</v>
      </c>
      <c r="N17" s="7">
        <v>1</v>
      </c>
      <c r="O17" s="82">
        <f t="shared" si="1"/>
        <v>58.091999999999999</v>
      </c>
    </row>
    <row r="18" spans="1:15">
      <c r="A18" s="7" t="s">
        <v>559</v>
      </c>
      <c r="B18" s="6" t="s">
        <v>532</v>
      </c>
      <c r="C18" s="74" t="s">
        <v>24</v>
      </c>
      <c r="D18" s="75" t="s">
        <v>17</v>
      </c>
      <c r="E18" s="7" t="s">
        <v>1094</v>
      </c>
      <c r="F18" s="76" t="s">
        <v>34</v>
      </c>
      <c r="G18" s="72" t="s">
        <v>350</v>
      </c>
      <c r="H18" s="34">
        <v>2</v>
      </c>
      <c r="I18" s="71" t="s">
        <v>358</v>
      </c>
      <c r="J18" s="32">
        <v>2</v>
      </c>
      <c r="K18" s="33">
        <f>VLOOKUP(E18,照明設備稼働時間!$A$4:$F$72,5,FALSE)</f>
        <v>618</v>
      </c>
      <c r="L18" s="33" t="str">
        <f t="shared" si="0"/>
        <v>FL40W ＋PIL100V40WS35E172笠付</v>
      </c>
      <c r="M18" s="33">
        <f>VLOOKUP(L18,照明器具一覧!$B$4:$F$155,5,FALSE)</f>
        <v>94</v>
      </c>
      <c r="N18" s="7">
        <v>1</v>
      </c>
      <c r="O18" s="82">
        <f t="shared" si="1"/>
        <v>116.184</v>
      </c>
    </row>
    <row r="19" spans="1:15">
      <c r="A19" s="7" t="s">
        <v>560</v>
      </c>
      <c r="B19" s="6" t="s">
        <v>532</v>
      </c>
      <c r="C19" s="74" t="s">
        <v>18</v>
      </c>
      <c r="D19" s="75" t="s">
        <v>17</v>
      </c>
      <c r="E19" s="7" t="s">
        <v>1094</v>
      </c>
      <c r="F19" s="76" t="s">
        <v>34</v>
      </c>
      <c r="G19" s="72" t="s">
        <v>38</v>
      </c>
      <c r="H19" s="34">
        <v>1</v>
      </c>
      <c r="I19" s="71" t="s">
        <v>357</v>
      </c>
      <c r="J19" s="32">
        <v>3</v>
      </c>
      <c r="K19" s="33">
        <f>VLOOKUP(E19,照明設備稼働時間!$A$4:$F$72,5,FALSE)</f>
        <v>618</v>
      </c>
      <c r="L19" s="33" t="str">
        <f t="shared" si="0"/>
        <v>FL40W1トラフ</v>
      </c>
      <c r="M19" s="33">
        <f>VLOOKUP(L19,照明器具一覧!$B$4:$F$155,5,FALSE)</f>
        <v>47</v>
      </c>
      <c r="N19" s="7">
        <v>1</v>
      </c>
      <c r="O19" s="82">
        <f t="shared" si="1"/>
        <v>87.138000000000005</v>
      </c>
    </row>
    <row r="20" spans="1:15">
      <c r="A20" s="7" t="s">
        <v>561</v>
      </c>
      <c r="B20" s="6" t="s">
        <v>532</v>
      </c>
      <c r="C20" s="74"/>
      <c r="D20" s="75" t="s">
        <v>17</v>
      </c>
      <c r="E20" s="7" t="s">
        <v>1094</v>
      </c>
      <c r="F20" s="76" t="s">
        <v>34</v>
      </c>
      <c r="G20" s="72" t="s">
        <v>38</v>
      </c>
      <c r="H20" s="34">
        <v>1</v>
      </c>
      <c r="I20" s="71" t="s">
        <v>434</v>
      </c>
      <c r="J20" s="32">
        <v>1</v>
      </c>
      <c r="K20" s="33">
        <f>VLOOKUP(E20,照明設備稼働時間!$A$4:$F$72,5,FALSE)</f>
        <v>618</v>
      </c>
      <c r="L20" s="33" t="str">
        <f t="shared" si="0"/>
        <v>FL40W1チェーン吊</v>
      </c>
      <c r="M20" s="33">
        <f>VLOOKUP(L20,照明器具一覧!$B$4:$F$155,5,FALSE)</f>
        <v>47</v>
      </c>
      <c r="N20" s="7">
        <v>1</v>
      </c>
      <c r="O20" s="82">
        <f t="shared" si="1"/>
        <v>29.045999999999999</v>
      </c>
    </row>
    <row r="21" spans="1:15">
      <c r="A21" s="7" t="s">
        <v>562</v>
      </c>
      <c r="B21" s="6" t="s">
        <v>532</v>
      </c>
      <c r="C21" s="74" t="s">
        <v>25</v>
      </c>
      <c r="D21" s="75" t="s">
        <v>17</v>
      </c>
      <c r="E21" s="7" t="s">
        <v>1078</v>
      </c>
      <c r="F21" s="76" t="s">
        <v>442</v>
      </c>
      <c r="G21" s="72" t="s">
        <v>38</v>
      </c>
      <c r="H21" s="34">
        <v>3</v>
      </c>
      <c r="I21" s="71" t="s">
        <v>359</v>
      </c>
      <c r="J21" s="32">
        <v>6</v>
      </c>
      <c r="K21" s="33">
        <f>VLOOKUP(E21,照明設備稼働時間!$A$4:$F$72,5,FALSE)</f>
        <v>4665</v>
      </c>
      <c r="L21" s="33" t="str">
        <f t="shared" si="0"/>
        <v>FL40W3埋込W300</v>
      </c>
      <c r="M21" s="33">
        <f>VLOOKUP(L21,照明器具一覧!$B$4:$F$155,5,FALSE)</f>
        <v>141</v>
      </c>
      <c r="N21" s="7">
        <v>1</v>
      </c>
      <c r="O21" s="82">
        <f t="shared" si="1"/>
        <v>3946.59</v>
      </c>
    </row>
    <row r="22" spans="1:15">
      <c r="A22" s="7" t="s">
        <v>563</v>
      </c>
      <c r="B22" s="6" t="s">
        <v>533</v>
      </c>
      <c r="C22" s="74" t="s">
        <v>28</v>
      </c>
      <c r="D22" s="75" t="s">
        <v>17</v>
      </c>
      <c r="E22" s="7" t="s">
        <v>1078</v>
      </c>
      <c r="F22" s="76" t="s">
        <v>37</v>
      </c>
      <c r="G22" s="72" t="s">
        <v>307</v>
      </c>
      <c r="H22" s="34">
        <v>1</v>
      </c>
      <c r="I22" s="71" t="s">
        <v>318</v>
      </c>
      <c r="J22" s="32">
        <v>1</v>
      </c>
      <c r="K22" s="33">
        <f>VLOOKUP(E22,照明設備稼働時間!$A$4:$F$72,5,FALSE)</f>
        <v>4665</v>
      </c>
      <c r="L22" s="33" t="str">
        <f t="shared" si="0"/>
        <v>LED1直付　非常照明付　電池内蔵</v>
      </c>
      <c r="M22" s="33">
        <f>VLOOKUP(L22,照明器具一覧!$B$4:$F$155,5,FALSE)</f>
        <v>20</v>
      </c>
      <c r="N22" s="7">
        <v>1</v>
      </c>
      <c r="O22" s="82">
        <f t="shared" si="1"/>
        <v>93.3</v>
      </c>
    </row>
    <row r="23" spans="1:15">
      <c r="A23" s="7" t="s">
        <v>564</v>
      </c>
      <c r="B23" s="6" t="s">
        <v>532</v>
      </c>
      <c r="C23" s="74" t="s">
        <v>27</v>
      </c>
      <c r="D23" s="75" t="s">
        <v>17</v>
      </c>
      <c r="E23" s="7" t="s">
        <v>1078</v>
      </c>
      <c r="F23" s="76" t="s">
        <v>36</v>
      </c>
      <c r="G23" s="72" t="s">
        <v>446</v>
      </c>
      <c r="H23" s="34">
        <v>2</v>
      </c>
      <c r="I23" s="71" t="s">
        <v>360</v>
      </c>
      <c r="J23" s="32">
        <v>6</v>
      </c>
      <c r="K23" s="33">
        <f>VLOOKUP(E23,照明設備稼働時間!$A$4:$F$72,5,FALSE)</f>
        <v>4665</v>
      </c>
      <c r="L23" s="33" t="str">
        <f t="shared" si="0"/>
        <v>FPL28W2埋込　スクエア□350</v>
      </c>
      <c r="M23" s="33">
        <f>VLOOKUP(L23,照明器具一覧!$B$4:$F$155,5,FALSE)</f>
        <v>31</v>
      </c>
      <c r="N23" s="7">
        <v>0.5</v>
      </c>
      <c r="O23" s="82">
        <f t="shared" si="1"/>
        <v>433.84500000000003</v>
      </c>
    </row>
    <row r="24" spans="1:15">
      <c r="A24" s="7" t="s">
        <v>565</v>
      </c>
      <c r="B24" s="6" t="s">
        <v>532</v>
      </c>
      <c r="C24" s="74" t="s">
        <v>362</v>
      </c>
      <c r="D24" s="75" t="s">
        <v>17</v>
      </c>
      <c r="E24" s="7" t="s">
        <v>9</v>
      </c>
      <c r="F24" s="76" t="s">
        <v>31</v>
      </c>
      <c r="G24" s="72" t="s">
        <v>443</v>
      </c>
      <c r="H24" s="34">
        <v>1</v>
      </c>
      <c r="I24" s="71" t="s">
        <v>361</v>
      </c>
      <c r="J24" s="32">
        <v>1</v>
      </c>
      <c r="K24" s="33">
        <f>VLOOKUP(E24,照明設備稼働時間!$A$4:$F$72,5,FALSE)</f>
        <v>8760</v>
      </c>
      <c r="L24" s="33" t="str">
        <f t="shared" si="0"/>
        <v>冷陰極1避難口誘導灯</v>
      </c>
      <c r="M24" s="33">
        <f>VLOOKUP(L24,照明器具一覧!$B$4:$F$155,5,FALSE)</f>
        <v>8</v>
      </c>
      <c r="N24" s="7">
        <v>1</v>
      </c>
      <c r="O24" s="82">
        <f t="shared" si="1"/>
        <v>70.08</v>
      </c>
    </row>
    <row r="25" spans="1:15">
      <c r="A25" s="7" t="s">
        <v>566</v>
      </c>
      <c r="B25" s="6" t="s">
        <v>532</v>
      </c>
      <c r="C25" s="74"/>
      <c r="D25" s="75" t="s">
        <v>17</v>
      </c>
      <c r="E25" s="7" t="s">
        <v>9</v>
      </c>
      <c r="F25" s="76" t="s">
        <v>31</v>
      </c>
      <c r="G25" s="72" t="s">
        <v>443</v>
      </c>
      <c r="H25" s="34">
        <v>1</v>
      </c>
      <c r="I25" s="71" t="s">
        <v>364</v>
      </c>
      <c r="J25" s="32">
        <v>1</v>
      </c>
      <c r="K25" s="33">
        <f>VLOOKUP(E25,照明設備稼働時間!$A$4:$F$72,5,FALSE)</f>
        <v>8760</v>
      </c>
      <c r="L25" s="33" t="str">
        <f t="shared" si="0"/>
        <v>冷陰極1通路誘導灯</v>
      </c>
      <c r="M25" s="33">
        <f>VLOOKUP(L25,照明器具一覧!$B$4:$F$155,5,FALSE)</f>
        <v>3.6</v>
      </c>
      <c r="N25" s="7">
        <v>1</v>
      </c>
      <c r="O25" s="82">
        <f t="shared" si="1"/>
        <v>31.536000000000001</v>
      </c>
    </row>
    <row r="26" spans="1:15">
      <c r="A26" s="7" t="s">
        <v>567</v>
      </c>
      <c r="B26" s="6" t="s">
        <v>532</v>
      </c>
      <c r="C26" s="74" t="s">
        <v>363</v>
      </c>
      <c r="D26" s="75" t="s">
        <v>17</v>
      </c>
      <c r="E26" s="7" t="s">
        <v>9</v>
      </c>
      <c r="F26" s="76" t="s">
        <v>442</v>
      </c>
      <c r="G26" s="72" t="s">
        <v>40</v>
      </c>
      <c r="H26" s="34">
        <v>1</v>
      </c>
      <c r="I26" s="71" t="s">
        <v>361</v>
      </c>
      <c r="J26" s="32">
        <v>1</v>
      </c>
      <c r="K26" s="33">
        <f>VLOOKUP(E26,照明設備稼働時間!$A$4:$F$72,5,FALSE)</f>
        <v>8760</v>
      </c>
      <c r="L26" s="33" t="str">
        <f t="shared" si="0"/>
        <v>FL20W1避難口誘導灯</v>
      </c>
      <c r="M26" s="33">
        <f>VLOOKUP(L26,照明器具一覧!$B$4:$F$155,5,FALSE)</f>
        <v>22</v>
      </c>
      <c r="N26" s="7">
        <v>1</v>
      </c>
      <c r="O26" s="82">
        <f t="shared" si="1"/>
        <v>192.72</v>
      </c>
    </row>
    <row r="27" spans="1:15">
      <c r="A27" s="7" t="s">
        <v>568</v>
      </c>
      <c r="B27" s="6" t="s">
        <v>532</v>
      </c>
      <c r="C27" s="74" t="s">
        <v>254</v>
      </c>
      <c r="D27" s="75" t="s">
        <v>17</v>
      </c>
      <c r="E27" s="7" t="s">
        <v>9</v>
      </c>
      <c r="F27" s="76" t="s">
        <v>37</v>
      </c>
      <c r="G27" s="72" t="s">
        <v>40</v>
      </c>
      <c r="H27" s="34">
        <v>1</v>
      </c>
      <c r="I27" s="71" t="s">
        <v>361</v>
      </c>
      <c r="J27" s="32">
        <v>1</v>
      </c>
      <c r="K27" s="33">
        <f>VLOOKUP(E27,照明設備稼働時間!$A$4:$F$72,5,FALSE)</f>
        <v>8760</v>
      </c>
      <c r="L27" s="33" t="str">
        <f t="shared" si="0"/>
        <v>FL20W1避難口誘導灯</v>
      </c>
      <c r="M27" s="33">
        <f>VLOOKUP(L27,照明器具一覧!$B$4:$F$155,5,FALSE)</f>
        <v>22</v>
      </c>
      <c r="N27" s="7">
        <v>1</v>
      </c>
      <c r="O27" s="82">
        <f t="shared" si="1"/>
        <v>192.72</v>
      </c>
    </row>
    <row r="28" spans="1:15">
      <c r="A28" s="7" t="s">
        <v>569</v>
      </c>
      <c r="B28" s="6" t="s">
        <v>532</v>
      </c>
      <c r="C28" s="74" t="s">
        <v>262</v>
      </c>
      <c r="D28" s="75" t="s">
        <v>17</v>
      </c>
      <c r="E28" s="7" t="s">
        <v>9</v>
      </c>
      <c r="F28" s="76" t="s">
        <v>321</v>
      </c>
      <c r="G28" s="72" t="s">
        <v>110</v>
      </c>
      <c r="H28" s="34">
        <v>1</v>
      </c>
      <c r="I28" s="71" t="s">
        <v>338</v>
      </c>
      <c r="J28" s="32">
        <v>1</v>
      </c>
      <c r="K28" s="33">
        <f>VLOOKUP(E28,照明設備稼働時間!$A$4:$F$72,5,FALSE)</f>
        <v>8760</v>
      </c>
      <c r="L28" s="33" t="str">
        <f t="shared" si="0"/>
        <v>FL10W1通路誘導灯</v>
      </c>
      <c r="M28" s="33">
        <f>VLOOKUP(L28,照明器具一覧!$B$4:$F$155,5,FALSE)</f>
        <v>12</v>
      </c>
      <c r="N28" s="7">
        <v>1</v>
      </c>
      <c r="O28" s="82">
        <f t="shared" si="1"/>
        <v>105.12</v>
      </c>
    </row>
    <row r="29" spans="1:15">
      <c r="A29" s="7" t="s">
        <v>570</v>
      </c>
      <c r="B29" s="6" t="s">
        <v>532</v>
      </c>
      <c r="C29" s="74" t="s">
        <v>26</v>
      </c>
      <c r="D29" s="75" t="s">
        <v>17</v>
      </c>
      <c r="E29" s="7" t="s">
        <v>515</v>
      </c>
      <c r="F29" s="76" t="s">
        <v>36</v>
      </c>
      <c r="G29" s="72" t="s">
        <v>284</v>
      </c>
      <c r="H29" s="34">
        <v>1</v>
      </c>
      <c r="I29" s="71" t="s">
        <v>237</v>
      </c>
      <c r="J29" s="32">
        <v>4</v>
      </c>
      <c r="K29" s="33">
        <f>VLOOKUP(E29,照明設備稼働時間!$A$4:$F$72,5,FALSE)</f>
        <v>0</v>
      </c>
      <c r="L29" s="33" t="str">
        <f t="shared" si="0"/>
        <v>IL40W1非常灯　電源別置　φ100</v>
      </c>
      <c r="M29" s="33">
        <f>VLOOKUP(L29,照明器具一覧!$B$4:$F$155,5,FALSE)</f>
        <v>40</v>
      </c>
      <c r="N29" s="7">
        <v>1</v>
      </c>
      <c r="O29" s="82">
        <f t="shared" si="1"/>
        <v>0</v>
      </c>
    </row>
    <row r="30" spans="1:15">
      <c r="A30" s="7" t="s">
        <v>571</v>
      </c>
      <c r="B30" s="6" t="s">
        <v>532</v>
      </c>
      <c r="C30" s="74" t="s">
        <v>26</v>
      </c>
      <c r="D30" s="75" t="s">
        <v>17</v>
      </c>
      <c r="E30" s="7" t="s">
        <v>515</v>
      </c>
      <c r="F30" s="76" t="s">
        <v>35</v>
      </c>
      <c r="G30" s="72" t="s">
        <v>284</v>
      </c>
      <c r="H30" s="34">
        <v>1</v>
      </c>
      <c r="I30" s="71" t="s">
        <v>237</v>
      </c>
      <c r="J30" s="32">
        <v>2</v>
      </c>
      <c r="K30" s="33">
        <f>VLOOKUP(E30,照明設備稼働時間!$A$4:$F$72,5,FALSE)</f>
        <v>0</v>
      </c>
      <c r="L30" s="33" t="str">
        <f t="shared" si="0"/>
        <v>IL40W1非常灯　電源別置　φ100</v>
      </c>
      <c r="M30" s="33">
        <f>VLOOKUP(L30,照明器具一覧!$B$4:$F$155,5,FALSE)</f>
        <v>40</v>
      </c>
      <c r="N30" s="7">
        <v>1</v>
      </c>
      <c r="O30" s="82">
        <f t="shared" si="1"/>
        <v>0</v>
      </c>
    </row>
    <row r="31" spans="1:15">
      <c r="A31" s="7" t="s">
        <v>572</v>
      </c>
      <c r="B31" s="6" t="s">
        <v>532</v>
      </c>
      <c r="C31" s="74" t="s">
        <v>19</v>
      </c>
      <c r="D31" s="75" t="s">
        <v>43</v>
      </c>
      <c r="E31" s="7" t="s">
        <v>80</v>
      </c>
      <c r="F31" s="76" t="s">
        <v>296</v>
      </c>
      <c r="G31" s="72" t="s">
        <v>38</v>
      </c>
      <c r="H31" s="34">
        <v>1</v>
      </c>
      <c r="I31" s="71" t="s">
        <v>365</v>
      </c>
      <c r="J31" s="32">
        <v>2</v>
      </c>
      <c r="K31" s="33">
        <f>VLOOKUP(E31,照明設備稼働時間!$A$4:$F$72,5,FALSE)</f>
        <v>1946</v>
      </c>
      <c r="L31" s="33" t="str">
        <f t="shared" si="0"/>
        <v>FL40W1トラフ　防水</v>
      </c>
      <c r="M31" s="33">
        <f>VLOOKUP(L31,照明器具一覧!$B$4:$F$155,5,FALSE)</f>
        <v>47</v>
      </c>
      <c r="N31" s="7">
        <v>1</v>
      </c>
      <c r="O31" s="82">
        <f t="shared" si="1"/>
        <v>182.92400000000001</v>
      </c>
    </row>
    <row r="32" spans="1:15">
      <c r="A32" s="7" t="s">
        <v>573</v>
      </c>
      <c r="B32" s="6" t="s">
        <v>532</v>
      </c>
      <c r="C32" s="74" t="s">
        <v>281</v>
      </c>
      <c r="D32" s="75" t="s">
        <v>43</v>
      </c>
      <c r="E32" s="7" t="s">
        <v>80</v>
      </c>
      <c r="F32" s="76" t="s">
        <v>74</v>
      </c>
      <c r="G32" s="72" t="s">
        <v>447</v>
      </c>
      <c r="H32" s="34">
        <v>2</v>
      </c>
      <c r="I32" s="71" t="s">
        <v>360</v>
      </c>
      <c r="J32" s="32">
        <v>1</v>
      </c>
      <c r="K32" s="33">
        <f>VLOOKUP(E32,照明設備稼働時間!$A$4:$F$72,5,FALSE)</f>
        <v>1946</v>
      </c>
      <c r="L32" s="33" t="str">
        <f t="shared" si="0"/>
        <v>FPL27W2埋込　スクエア□350</v>
      </c>
      <c r="M32" s="33">
        <f>VLOOKUP(L32,照明器具一覧!$B$4:$F$155,5,FALSE)</f>
        <v>66</v>
      </c>
      <c r="N32" s="7">
        <v>1</v>
      </c>
      <c r="O32" s="82">
        <f t="shared" si="1"/>
        <v>128.43600000000001</v>
      </c>
    </row>
    <row r="33" spans="1:15">
      <c r="A33" s="7" t="s">
        <v>574</v>
      </c>
      <c r="B33" s="6" t="s">
        <v>532</v>
      </c>
      <c r="C33" s="74" t="s">
        <v>44</v>
      </c>
      <c r="D33" s="75" t="s">
        <v>43</v>
      </c>
      <c r="E33" s="7" t="s">
        <v>1095</v>
      </c>
      <c r="F33" s="76" t="s">
        <v>75</v>
      </c>
      <c r="G33" s="72" t="s">
        <v>40</v>
      </c>
      <c r="H33" s="34">
        <v>1</v>
      </c>
      <c r="I33" s="71" t="s">
        <v>366</v>
      </c>
      <c r="J33" s="32">
        <v>1</v>
      </c>
      <c r="K33" s="33">
        <f>VLOOKUP(E33,照明設備稼働時間!$A$4:$F$72,5,FALSE)</f>
        <v>834</v>
      </c>
      <c r="L33" s="33" t="str">
        <f t="shared" si="0"/>
        <v>FL20W1ブラケット</v>
      </c>
      <c r="M33" s="33">
        <f>VLOOKUP(L33,照明器具一覧!$B$4:$F$155,5,FALSE)</f>
        <v>22</v>
      </c>
      <c r="N33" s="7">
        <v>1</v>
      </c>
      <c r="O33" s="82">
        <f t="shared" si="1"/>
        <v>18.347999999999999</v>
      </c>
    </row>
    <row r="34" spans="1:15">
      <c r="A34" s="7" t="s">
        <v>575</v>
      </c>
      <c r="B34" s="6" t="s">
        <v>532</v>
      </c>
      <c r="C34" s="74" t="s">
        <v>45</v>
      </c>
      <c r="D34" s="75" t="s">
        <v>43</v>
      </c>
      <c r="E34" s="7" t="s">
        <v>1095</v>
      </c>
      <c r="F34" s="76" t="s">
        <v>75</v>
      </c>
      <c r="G34" s="72" t="s">
        <v>340</v>
      </c>
      <c r="H34" s="34">
        <v>1</v>
      </c>
      <c r="I34" s="71" t="s">
        <v>367</v>
      </c>
      <c r="J34" s="32">
        <v>2</v>
      </c>
      <c r="K34" s="33">
        <f>VLOOKUP(E34,照明設備稼働時間!$A$4:$F$72,5,FALSE)</f>
        <v>834</v>
      </c>
      <c r="L34" s="33" t="str">
        <f t="shared" si="0"/>
        <v>FDL18W1ダウンライト　φ150</v>
      </c>
      <c r="M34" s="33">
        <f>VLOOKUP(L34,照明器具一覧!$B$4:$F$155,5,FALSE)</f>
        <v>22</v>
      </c>
      <c r="N34" s="7">
        <v>1</v>
      </c>
      <c r="O34" s="82">
        <f t="shared" si="1"/>
        <v>36.695999999999998</v>
      </c>
    </row>
    <row r="35" spans="1:15">
      <c r="A35" s="7" t="s">
        <v>576</v>
      </c>
      <c r="B35" s="6" t="s">
        <v>532</v>
      </c>
      <c r="C35" s="74" t="s">
        <v>288</v>
      </c>
      <c r="D35" s="75" t="s">
        <v>43</v>
      </c>
      <c r="E35" s="7" t="s">
        <v>1095</v>
      </c>
      <c r="F35" s="76" t="s">
        <v>289</v>
      </c>
      <c r="G35" s="72" t="s">
        <v>264</v>
      </c>
      <c r="H35" s="34">
        <v>2</v>
      </c>
      <c r="I35" s="71" t="s">
        <v>368</v>
      </c>
      <c r="J35" s="32">
        <v>1</v>
      </c>
      <c r="K35" s="33">
        <f>VLOOKUP(E35,照明設備稼働時間!$A$4:$F$72,5,FALSE)</f>
        <v>834</v>
      </c>
      <c r="L35" s="33" t="str">
        <f t="shared" si="0"/>
        <v xml:space="preserve">FL40W2埋込W300 </v>
      </c>
      <c r="M35" s="33">
        <f>VLOOKUP(L35,照明器具一覧!$B$4:$F$155,5,FALSE)</f>
        <v>94</v>
      </c>
      <c r="N35" s="7">
        <v>1</v>
      </c>
      <c r="O35" s="82">
        <f t="shared" si="1"/>
        <v>78.396000000000001</v>
      </c>
    </row>
    <row r="36" spans="1:15">
      <c r="A36" s="7" t="s">
        <v>577</v>
      </c>
      <c r="B36" s="6" t="s">
        <v>532</v>
      </c>
      <c r="C36" s="74" t="s">
        <v>44</v>
      </c>
      <c r="D36" s="75" t="s">
        <v>43</v>
      </c>
      <c r="E36" s="7" t="s">
        <v>80</v>
      </c>
      <c r="F36" s="76" t="s">
        <v>304</v>
      </c>
      <c r="G36" s="72" t="s">
        <v>40</v>
      </c>
      <c r="H36" s="34">
        <v>1</v>
      </c>
      <c r="I36" s="71" t="s">
        <v>366</v>
      </c>
      <c r="J36" s="32">
        <v>1</v>
      </c>
      <c r="K36" s="33">
        <f>VLOOKUP(E36,照明設備稼働時間!$A$4:$F$72,5,FALSE)</f>
        <v>1946</v>
      </c>
      <c r="L36" s="33" t="str">
        <f t="shared" si="0"/>
        <v>FL20W1ブラケット</v>
      </c>
      <c r="M36" s="33">
        <f>VLOOKUP(L36,照明器具一覧!$B$4:$F$155,5,FALSE)</f>
        <v>22</v>
      </c>
      <c r="N36" s="7">
        <v>1</v>
      </c>
      <c r="O36" s="82">
        <f t="shared" si="1"/>
        <v>42.811999999999998</v>
      </c>
    </row>
    <row r="37" spans="1:15">
      <c r="A37" s="7" t="s">
        <v>578</v>
      </c>
      <c r="B37" s="6" t="s">
        <v>532</v>
      </c>
      <c r="C37" s="74" t="s">
        <v>47</v>
      </c>
      <c r="D37" s="75" t="s">
        <v>43</v>
      </c>
      <c r="E37" s="7" t="s">
        <v>80</v>
      </c>
      <c r="F37" s="76" t="s">
        <v>304</v>
      </c>
      <c r="G37" s="72" t="s">
        <v>294</v>
      </c>
      <c r="H37" s="34">
        <v>2</v>
      </c>
      <c r="I37" s="71" t="s">
        <v>369</v>
      </c>
      <c r="J37" s="32">
        <v>1</v>
      </c>
      <c r="K37" s="33">
        <f>VLOOKUP(E37,照明設備稼働時間!$A$4:$F$72,5,FALSE)</f>
        <v>1946</v>
      </c>
      <c r="L37" s="33" t="str">
        <f t="shared" si="0"/>
        <v>FL20W＋PIL100V40WS35E172埋込W300　非常照明付　電源別置</v>
      </c>
      <c r="M37" s="33">
        <f>VLOOKUP(L37,照明器具一覧!$B$4:$F$155,5,FALSE)</f>
        <v>44</v>
      </c>
      <c r="N37" s="7">
        <v>1</v>
      </c>
      <c r="O37" s="82">
        <f t="shared" si="1"/>
        <v>85.623999999999995</v>
      </c>
    </row>
    <row r="38" spans="1:15">
      <c r="A38" s="7" t="s">
        <v>579</v>
      </c>
      <c r="B38" s="6" t="s">
        <v>532</v>
      </c>
      <c r="C38" s="74" t="s">
        <v>46</v>
      </c>
      <c r="D38" s="75" t="s">
        <v>43</v>
      </c>
      <c r="E38" s="7" t="s">
        <v>80</v>
      </c>
      <c r="F38" s="76" t="s">
        <v>304</v>
      </c>
      <c r="G38" s="72" t="s">
        <v>38</v>
      </c>
      <c r="H38" s="34">
        <v>2</v>
      </c>
      <c r="I38" s="71" t="s">
        <v>359</v>
      </c>
      <c r="J38" s="32">
        <v>2</v>
      </c>
      <c r="K38" s="33">
        <f>VLOOKUP(E38,照明設備稼働時間!$A$4:$F$72,5,FALSE)</f>
        <v>1946</v>
      </c>
      <c r="L38" s="33" t="str">
        <f t="shared" si="0"/>
        <v>FL40W2埋込W300</v>
      </c>
      <c r="M38" s="33">
        <f>VLOOKUP(L38,照明器具一覧!$B$4:$F$155,5,FALSE)</f>
        <v>94</v>
      </c>
      <c r="N38" s="7">
        <v>1</v>
      </c>
      <c r="O38" s="82">
        <f t="shared" si="1"/>
        <v>365.84800000000001</v>
      </c>
    </row>
    <row r="39" spans="1:15">
      <c r="A39" s="7" t="s">
        <v>580</v>
      </c>
      <c r="B39" s="6" t="s">
        <v>532</v>
      </c>
      <c r="C39" s="74" t="s">
        <v>282</v>
      </c>
      <c r="D39" s="75" t="s">
        <v>43</v>
      </c>
      <c r="E39" s="7" t="s">
        <v>80</v>
      </c>
      <c r="F39" s="76" t="s">
        <v>304</v>
      </c>
      <c r="G39" s="72" t="s">
        <v>293</v>
      </c>
      <c r="H39" s="34">
        <v>2</v>
      </c>
      <c r="I39" s="71" t="s">
        <v>369</v>
      </c>
      <c r="J39" s="32">
        <v>1</v>
      </c>
      <c r="K39" s="33">
        <f>VLOOKUP(E39,照明設備稼働時間!$A$4:$F$72,5,FALSE)</f>
        <v>1946</v>
      </c>
      <c r="L39" s="33" t="str">
        <f t="shared" si="0"/>
        <v>FL40SW ＋PIL100V40WS35E172埋込W300　非常照明付　電源別置</v>
      </c>
      <c r="M39" s="33">
        <f>VLOOKUP(L39,照明器具一覧!$B$4:$F$155,5,FALSE)</f>
        <v>94</v>
      </c>
      <c r="N39" s="7">
        <v>1</v>
      </c>
      <c r="O39" s="82">
        <f t="shared" si="1"/>
        <v>182.92400000000001</v>
      </c>
    </row>
    <row r="40" spans="1:15">
      <c r="A40" s="7" t="s">
        <v>581</v>
      </c>
      <c r="B40" s="6" t="s">
        <v>532</v>
      </c>
      <c r="C40" s="74" t="s">
        <v>48</v>
      </c>
      <c r="D40" s="75" t="s">
        <v>43</v>
      </c>
      <c r="E40" s="7" t="s">
        <v>80</v>
      </c>
      <c r="F40" s="76" t="s">
        <v>76</v>
      </c>
      <c r="G40" s="72" t="s">
        <v>38</v>
      </c>
      <c r="H40" s="34">
        <v>2</v>
      </c>
      <c r="I40" s="71" t="s">
        <v>366</v>
      </c>
      <c r="J40" s="32">
        <v>1</v>
      </c>
      <c r="K40" s="33">
        <f>VLOOKUP(E40,照明設備稼働時間!$A$4:$F$72,5,FALSE)</f>
        <v>1946</v>
      </c>
      <c r="L40" s="33" t="str">
        <f t="shared" si="0"/>
        <v>FL40W2ブラケット</v>
      </c>
      <c r="M40" s="33">
        <f>VLOOKUP(L40,照明器具一覧!$B$4:$F$155,5,FALSE)</f>
        <v>94</v>
      </c>
      <c r="N40" s="7">
        <v>1</v>
      </c>
      <c r="O40" s="82">
        <f t="shared" si="1"/>
        <v>182.92400000000001</v>
      </c>
    </row>
    <row r="41" spans="1:15">
      <c r="A41" s="7" t="s">
        <v>582</v>
      </c>
      <c r="B41" s="6" t="s">
        <v>532</v>
      </c>
      <c r="C41" s="74" t="s">
        <v>49</v>
      </c>
      <c r="D41" s="75" t="s">
        <v>43</v>
      </c>
      <c r="E41" s="7" t="s">
        <v>80</v>
      </c>
      <c r="F41" s="76" t="s">
        <v>295</v>
      </c>
      <c r="G41" s="72" t="s">
        <v>38</v>
      </c>
      <c r="H41" s="34">
        <v>2</v>
      </c>
      <c r="I41" s="71" t="s">
        <v>370</v>
      </c>
      <c r="J41" s="32">
        <v>1</v>
      </c>
      <c r="K41" s="33">
        <f>VLOOKUP(E41,照明設備稼働時間!$A$4:$F$72,5,FALSE)</f>
        <v>1946</v>
      </c>
      <c r="L41" s="33" t="str">
        <f t="shared" si="0"/>
        <v>FL40W2埋込W220　SUS</v>
      </c>
      <c r="M41" s="33">
        <f>VLOOKUP(L41,照明器具一覧!$B$4:$F$155,5,FALSE)</f>
        <v>94</v>
      </c>
      <c r="N41" s="7">
        <v>1</v>
      </c>
      <c r="O41" s="82">
        <f t="shared" si="1"/>
        <v>182.92400000000001</v>
      </c>
    </row>
    <row r="42" spans="1:15">
      <c r="A42" s="7" t="s">
        <v>583</v>
      </c>
      <c r="B42" s="6" t="s">
        <v>532</v>
      </c>
      <c r="C42" s="74" t="s">
        <v>48</v>
      </c>
      <c r="D42" s="75" t="s">
        <v>43</v>
      </c>
      <c r="E42" s="7" t="s">
        <v>80</v>
      </c>
      <c r="F42" s="76" t="s">
        <v>76</v>
      </c>
      <c r="G42" s="72" t="s">
        <v>38</v>
      </c>
      <c r="H42" s="34">
        <v>2</v>
      </c>
      <c r="I42" s="71" t="s">
        <v>366</v>
      </c>
      <c r="J42" s="32">
        <v>1</v>
      </c>
      <c r="K42" s="33">
        <f>VLOOKUP(E42,照明設備稼働時間!$A$4:$F$72,5,FALSE)</f>
        <v>1946</v>
      </c>
      <c r="L42" s="33" t="str">
        <f t="shared" si="0"/>
        <v>FL40W2ブラケット</v>
      </c>
      <c r="M42" s="33">
        <f>VLOOKUP(L42,照明器具一覧!$B$4:$F$155,5,FALSE)</f>
        <v>94</v>
      </c>
      <c r="N42" s="7">
        <v>1</v>
      </c>
      <c r="O42" s="82">
        <f t="shared" si="1"/>
        <v>182.92400000000001</v>
      </c>
    </row>
    <row r="43" spans="1:15">
      <c r="A43" s="7" t="s">
        <v>584</v>
      </c>
      <c r="B43" s="6" t="s">
        <v>532</v>
      </c>
      <c r="C43" s="74" t="s">
        <v>50</v>
      </c>
      <c r="D43" s="75" t="s">
        <v>43</v>
      </c>
      <c r="E43" s="7" t="s">
        <v>1095</v>
      </c>
      <c r="F43" s="76" t="s">
        <v>77</v>
      </c>
      <c r="G43" s="72" t="s">
        <v>38</v>
      </c>
      <c r="H43" s="34">
        <v>1</v>
      </c>
      <c r="I43" s="71" t="s">
        <v>371</v>
      </c>
      <c r="J43" s="32">
        <v>1</v>
      </c>
      <c r="K43" s="33">
        <f>VLOOKUP(E43,照明設備稼働時間!$A$4:$F$72,5,FALSE)</f>
        <v>834</v>
      </c>
      <c r="L43" s="33" t="str">
        <f t="shared" si="0"/>
        <v>FL40W1埋込W220</v>
      </c>
      <c r="M43" s="33">
        <f>VLOOKUP(L43,照明器具一覧!$B$4:$F$155,5,FALSE)</f>
        <v>47</v>
      </c>
      <c r="N43" s="7">
        <v>1</v>
      </c>
      <c r="O43" s="82">
        <f t="shared" si="1"/>
        <v>39.198</v>
      </c>
    </row>
    <row r="44" spans="1:15">
      <c r="A44" s="7" t="s">
        <v>585</v>
      </c>
      <c r="B44" s="6" t="s">
        <v>532</v>
      </c>
      <c r="C44" s="74" t="s">
        <v>292</v>
      </c>
      <c r="D44" s="75" t="s">
        <v>43</v>
      </c>
      <c r="E44" s="7" t="s">
        <v>1095</v>
      </c>
      <c r="F44" s="76" t="s">
        <v>291</v>
      </c>
      <c r="G44" s="72" t="s">
        <v>40</v>
      </c>
      <c r="H44" s="34">
        <v>1</v>
      </c>
      <c r="I44" s="71" t="s">
        <v>372</v>
      </c>
      <c r="J44" s="32">
        <v>1</v>
      </c>
      <c r="K44" s="33">
        <f>VLOOKUP(E44,照明設備稼働時間!$A$4:$F$72,5,FALSE)</f>
        <v>834</v>
      </c>
      <c r="L44" s="33" t="str">
        <f t="shared" si="0"/>
        <v>FL20W1ブラケット</v>
      </c>
      <c r="M44" s="33">
        <f>VLOOKUP(L44,照明器具一覧!$B$4:$F$155,5,FALSE)</f>
        <v>22</v>
      </c>
      <c r="N44" s="7">
        <v>1</v>
      </c>
      <c r="O44" s="82">
        <f t="shared" si="1"/>
        <v>18.347999999999999</v>
      </c>
    </row>
    <row r="45" spans="1:15">
      <c r="A45" s="7" t="s">
        <v>586</v>
      </c>
      <c r="B45" s="6" t="s">
        <v>532</v>
      </c>
      <c r="C45" s="74" t="s">
        <v>45</v>
      </c>
      <c r="D45" s="75" t="s">
        <v>43</v>
      </c>
      <c r="E45" s="7" t="s">
        <v>1095</v>
      </c>
      <c r="F45" s="76" t="s">
        <v>291</v>
      </c>
      <c r="G45" s="72" t="s">
        <v>340</v>
      </c>
      <c r="H45" s="34">
        <v>1</v>
      </c>
      <c r="I45" s="71" t="s">
        <v>367</v>
      </c>
      <c r="J45" s="32">
        <v>2</v>
      </c>
      <c r="K45" s="33">
        <f>VLOOKUP(E45,照明設備稼働時間!$A$4:$F$72,5,FALSE)</f>
        <v>834</v>
      </c>
      <c r="L45" s="33" t="str">
        <f t="shared" si="0"/>
        <v>FDL18W1ダウンライト　φ150</v>
      </c>
      <c r="M45" s="33">
        <f>VLOOKUP(L45,照明器具一覧!$B$4:$F$155,5,FALSE)</f>
        <v>22</v>
      </c>
      <c r="N45" s="7">
        <v>1</v>
      </c>
      <c r="O45" s="82">
        <f t="shared" si="1"/>
        <v>36.695999999999998</v>
      </c>
    </row>
    <row r="46" spans="1:15">
      <c r="A46" s="7" t="s">
        <v>587</v>
      </c>
      <c r="B46" s="6" t="s">
        <v>532</v>
      </c>
      <c r="C46" s="74" t="s">
        <v>282</v>
      </c>
      <c r="D46" s="75" t="s">
        <v>43</v>
      </c>
      <c r="E46" s="7" t="s">
        <v>80</v>
      </c>
      <c r="F46" s="76" t="s">
        <v>305</v>
      </c>
      <c r="G46" s="72" t="s">
        <v>293</v>
      </c>
      <c r="H46" s="34">
        <v>2</v>
      </c>
      <c r="I46" s="71" t="s">
        <v>369</v>
      </c>
      <c r="J46" s="32">
        <v>2</v>
      </c>
      <c r="K46" s="33">
        <f>VLOOKUP(E46,照明設備稼働時間!$A$4:$F$72,5,FALSE)</f>
        <v>1946</v>
      </c>
      <c r="L46" s="33" t="str">
        <f t="shared" si="0"/>
        <v>FL40SW ＋PIL100V40WS35E172埋込W300　非常照明付　電源別置</v>
      </c>
      <c r="M46" s="33">
        <f>VLOOKUP(L46,照明器具一覧!$B$4:$F$155,5,FALSE)</f>
        <v>94</v>
      </c>
      <c r="N46" s="7">
        <v>1</v>
      </c>
      <c r="O46" s="82">
        <f t="shared" si="1"/>
        <v>365.84800000000001</v>
      </c>
    </row>
    <row r="47" spans="1:15">
      <c r="A47" s="7" t="s">
        <v>588</v>
      </c>
      <c r="B47" s="6" t="s">
        <v>532</v>
      </c>
      <c r="C47" s="74" t="s">
        <v>46</v>
      </c>
      <c r="D47" s="75" t="s">
        <v>43</v>
      </c>
      <c r="E47" s="7" t="s">
        <v>80</v>
      </c>
      <c r="F47" s="76" t="s">
        <v>305</v>
      </c>
      <c r="G47" s="72" t="s">
        <v>38</v>
      </c>
      <c r="H47" s="34">
        <v>2</v>
      </c>
      <c r="I47" s="71" t="s">
        <v>371</v>
      </c>
      <c r="J47" s="32">
        <v>2</v>
      </c>
      <c r="K47" s="33">
        <f>VLOOKUP(E47,照明設備稼働時間!$A$4:$F$72,5,FALSE)</f>
        <v>1946</v>
      </c>
      <c r="L47" s="33" t="str">
        <f t="shared" si="0"/>
        <v>FL40W2埋込W220</v>
      </c>
      <c r="M47" s="33">
        <f>VLOOKUP(L47,照明器具一覧!$B$4:$F$155,5,FALSE)</f>
        <v>94</v>
      </c>
      <c r="N47" s="7">
        <v>1</v>
      </c>
      <c r="O47" s="82">
        <f t="shared" si="1"/>
        <v>365.84800000000001</v>
      </c>
    </row>
    <row r="48" spans="1:15">
      <c r="A48" s="7" t="s">
        <v>589</v>
      </c>
      <c r="B48" s="6" t="s">
        <v>532</v>
      </c>
      <c r="C48" s="74" t="s">
        <v>44</v>
      </c>
      <c r="D48" s="75" t="s">
        <v>43</v>
      </c>
      <c r="E48" s="7" t="s">
        <v>80</v>
      </c>
      <c r="F48" s="76" t="s">
        <v>305</v>
      </c>
      <c r="G48" s="72" t="s">
        <v>40</v>
      </c>
      <c r="H48" s="34">
        <v>1</v>
      </c>
      <c r="I48" s="71" t="s">
        <v>366</v>
      </c>
      <c r="J48" s="32">
        <v>1</v>
      </c>
      <c r="K48" s="33">
        <f>VLOOKUP(E48,照明設備稼働時間!$A$4:$F$72,5,FALSE)</f>
        <v>1946</v>
      </c>
      <c r="L48" s="33" t="str">
        <f t="shared" si="0"/>
        <v>FL20W1ブラケット</v>
      </c>
      <c r="M48" s="33">
        <f>VLOOKUP(L48,照明器具一覧!$B$4:$F$155,5,FALSE)</f>
        <v>22</v>
      </c>
      <c r="N48" s="7">
        <v>1</v>
      </c>
      <c r="O48" s="82">
        <f t="shared" si="1"/>
        <v>42.811999999999998</v>
      </c>
    </row>
    <row r="49" spans="1:15">
      <c r="A49" s="7" t="s">
        <v>590</v>
      </c>
      <c r="B49" s="6" t="s">
        <v>532</v>
      </c>
      <c r="C49" s="74" t="s">
        <v>51</v>
      </c>
      <c r="D49" s="75" t="s">
        <v>43</v>
      </c>
      <c r="E49" s="7" t="s">
        <v>80</v>
      </c>
      <c r="F49" s="76" t="s">
        <v>305</v>
      </c>
      <c r="G49" s="72" t="s">
        <v>40</v>
      </c>
      <c r="H49" s="34">
        <v>2</v>
      </c>
      <c r="I49" s="71" t="s">
        <v>309</v>
      </c>
      <c r="J49" s="32">
        <v>1</v>
      </c>
      <c r="K49" s="33">
        <f>VLOOKUP(E49,照明設備稼働時間!$A$4:$F$72,5,FALSE)</f>
        <v>1946</v>
      </c>
      <c r="L49" s="33" t="str">
        <f t="shared" si="0"/>
        <v>FL20W2埋込 W300</v>
      </c>
      <c r="M49" s="33">
        <f>VLOOKUP(L49,照明器具一覧!$B$4:$F$155,5,FALSE)</f>
        <v>44</v>
      </c>
      <c r="N49" s="7">
        <v>1</v>
      </c>
      <c r="O49" s="82">
        <f t="shared" si="1"/>
        <v>85.623999999999995</v>
      </c>
    </row>
    <row r="50" spans="1:15">
      <c r="A50" s="7" t="s">
        <v>591</v>
      </c>
      <c r="B50" s="6" t="s">
        <v>532</v>
      </c>
      <c r="C50" s="74" t="s">
        <v>45</v>
      </c>
      <c r="D50" s="75" t="s">
        <v>43</v>
      </c>
      <c r="E50" s="7" t="s">
        <v>80</v>
      </c>
      <c r="F50" s="76" t="s">
        <v>306</v>
      </c>
      <c r="G50" s="72" t="s">
        <v>340</v>
      </c>
      <c r="H50" s="34">
        <v>1</v>
      </c>
      <c r="I50" s="71" t="s">
        <v>367</v>
      </c>
      <c r="J50" s="32">
        <v>1</v>
      </c>
      <c r="K50" s="33">
        <f>VLOOKUP(E50,照明設備稼働時間!$A$4:$F$72,5,FALSE)</f>
        <v>1946</v>
      </c>
      <c r="L50" s="33" t="str">
        <f t="shared" si="0"/>
        <v>FDL18W1ダウンライト　φ150</v>
      </c>
      <c r="M50" s="33">
        <f>VLOOKUP(L50,照明器具一覧!$B$4:$F$155,5,FALSE)</f>
        <v>22</v>
      </c>
      <c r="N50" s="7">
        <v>1</v>
      </c>
      <c r="O50" s="82">
        <f t="shared" si="1"/>
        <v>42.811999999999998</v>
      </c>
    </row>
    <row r="51" spans="1:15">
      <c r="A51" s="7" t="s">
        <v>592</v>
      </c>
      <c r="B51" s="6" t="s">
        <v>533</v>
      </c>
      <c r="C51" s="74" t="s">
        <v>28</v>
      </c>
      <c r="D51" s="75" t="s">
        <v>43</v>
      </c>
      <c r="E51" s="7" t="s">
        <v>509</v>
      </c>
      <c r="F51" s="76" t="s">
        <v>37</v>
      </c>
      <c r="G51" s="72" t="s">
        <v>307</v>
      </c>
      <c r="H51" s="34">
        <v>1</v>
      </c>
      <c r="I51" s="71" t="s">
        <v>318</v>
      </c>
      <c r="J51" s="32">
        <v>1</v>
      </c>
      <c r="K51" s="33">
        <f>VLOOKUP(E51,照明設備稼働時間!$A$4:$F$72,5,FALSE)</f>
        <v>4172</v>
      </c>
      <c r="L51" s="33" t="str">
        <f t="shared" si="0"/>
        <v>LED1直付　非常照明付　電池内蔵</v>
      </c>
      <c r="M51" s="33">
        <f>VLOOKUP(L51,照明器具一覧!$B$4:$F$155,5,FALSE)</f>
        <v>20</v>
      </c>
      <c r="N51" s="7">
        <v>1</v>
      </c>
      <c r="O51" s="82">
        <f t="shared" si="1"/>
        <v>83.44</v>
      </c>
    </row>
    <row r="52" spans="1:15">
      <c r="A52" s="7" t="s">
        <v>593</v>
      </c>
      <c r="B52" s="6" t="s">
        <v>532</v>
      </c>
      <c r="C52" s="74" t="s">
        <v>53</v>
      </c>
      <c r="D52" s="75" t="s">
        <v>43</v>
      </c>
      <c r="E52" s="7" t="s">
        <v>516</v>
      </c>
      <c r="F52" s="76" t="s">
        <v>269</v>
      </c>
      <c r="G52" s="72" t="s">
        <v>40</v>
      </c>
      <c r="H52" s="34">
        <v>1</v>
      </c>
      <c r="I52" s="71" t="s">
        <v>373</v>
      </c>
      <c r="J52" s="32">
        <v>1</v>
      </c>
      <c r="K52" s="33">
        <f>VLOOKUP(E52,照明設備稼働時間!$A$4:$F$72,5,FALSE)</f>
        <v>0</v>
      </c>
      <c r="L52" s="33" t="str">
        <f t="shared" si="0"/>
        <v>FL20W1片反射</v>
      </c>
      <c r="M52" s="33">
        <f>VLOOKUP(L52,照明器具一覧!$B$4:$F$155,5,FALSE)</f>
        <v>22</v>
      </c>
      <c r="N52" s="7">
        <v>1</v>
      </c>
      <c r="O52" s="82">
        <f t="shared" si="1"/>
        <v>0</v>
      </c>
    </row>
    <row r="53" spans="1:15">
      <c r="A53" s="7" t="s">
        <v>594</v>
      </c>
      <c r="B53" s="6" t="s">
        <v>532</v>
      </c>
      <c r="C53" s="74" t="s">
        <v>54</v>
      </c>
      <c r="D53" s="75" t="s">
        <v>43</v>
      </c>
      <c r="E53" s="7" t="s">
        <v>516</v>
      </c>
      <c r="F53" s="76" t="s">
        <v>343</v>
      </c>
      <c r="G53" s="72" t="s">
        <v>40</v>
      </c>
      <c r="H53" s="34">
        <v>1</v>
      </c>
      <c r="I53" s="71" t="s">
        <v>356</v>
      </c>
      <c r="J53" s="32">
        <v>1</v>
      </c>
      <c r="K53" s="33">
        <f>VLOOKUP(E53,照明設備稼働時間!$A$4:$F$72,5,FALSE)</f>
        <v>0</v>
      </c>
      <c r="L53" s="33" t="str">
        <f t="shared" si="0"/>
        <v>FL20W1逆富士</v>
      </c>
      <c r="M53" s="33">
        <f>VLOOKUP(L53,照明器具一覧!$B$4:$F$155,5,FALSE)</f>
        <v>22</v>
      </c>
      <c r="N53" s="7">
        <v>1</v>
      </c>
      <c r="O53" s="82">
        <f t="shared" si="1"/>
        <v>0</v>
      </c>
    </row>
    <row r="54" spans="1:15">
      <c r="A54" s="7" t="s">
        <v>595</v>
      </c>
      <c r="B54" s="6" t="s">
        <v>532</v>
      </c>
      <c r="C54" s="74" t="s">
        <v>55</v>
      </c>
      <c r="D54" s="75" t="s">
        <v>43</v>
      </c>
      <c r="E54" s="7" t="s">
        <v>509</v>
      </c>
      <c r="F54" s="76" t="s">
        <v>79</v>
      </c>
      <c r="G54" s="72" t="s">
        <v>38</v>
      </c>
      <c r="H54" s="34">
        <v>1</v>
      </c>
      <c r="I54" s="71" t="s">
        <v>357</v>
      </c>
      <c r="J54" s="32">
        <v>18</v>
      </c>
      <c r="K54" s="33">
        <f>VLOOKUP(E54,照明設備稼働時間!$A$4:$F$72,5,FALSE)</f>
        <v>4172</v>
      </c>
      <c r="L54" s="33" t="str">
        <f t="shared" si="0"/>
        <v>FL40W1トラフ</v>
      </c>
      <c r="M54" s="33">
        <f>VLOOKUP(L54,照明器具一覧!$B$4:$F$155,5,FALSE)</f>
        <v>47</v>
      </c>
      <c r="N54" s="7">
        <v>0.22</v>
      </c>
      <c r="O54" s="82">
        <f t="shared" si="1"/>
        <v>776.49264000000005</v>
      </c>
    </row>
    <row r="55" spans="1:15">
      <c r="A55" s="7" t="s">
        <v>596</v>
      </c>
      <c r="B55" s="6" t="s">
        <v>532</v>
      </c>
      <c r="C55" s="74"/>
      <c r="D55" s="75" t="s">
        <v>43</v>
      </c>
      <c r="E55" s="7" t="s">
        <v>509</v>
      </c>
      <c r="F55" s="76" t="s">
        <v>79</v>
      </c>
      <c r="G55" s="72" t="s">
        <v>107</v>
      </c>
      <c r="H55" s="34">
        <v>1</v>
      </c>
      <c r="I55" s="71" t="s">
        <v>374</v>
      </c>
      <c r="J55" s="32">
        <v>4</v>
      </c>
      <c r="K55" s="33">
        <f>VLOOKUP(E55,照明設備稼働時間!$A$4:$F$72,5,FALSE)</f>
        <v>4172</v>
      </c>
      <c r="L55" s="33" t="str">
        <f t="shared" si="0"/>
        <v>KR60W1ダウンライト　φ125</v>
      </c>
      <c r="M55" s="33">
        <f>VLOOKUP(L55,照明器具一覧!$B$4:$F$155,5,FALSE)</f>
        <v>60</v>
      </c>
      <c r="N55" s="7">
        <v>1</v>
      </c>
      <c r="O55" s="82">
        <f t="shared" si="1"/>
        <v>1001.28</v>
      </c>
    </row>
    <row r="56" spans="1:15">
      <c r="A56" s="7" t="s">
        <v>597</v>
      </c>
      <c r="B56" s="6" t="s">
        <v>532</v>
      </c>
      <c r="C56" s="74" t="s">
        <v>56</v>
      </c>
      <c r="D56" s="75" t="s">
        <v>43</v>
      </c>
      <c r="E56" s="7" t="s">
        <v>80</v>
      </c>
      <c r="F56" s="76" t="s">
        <v>80</v>
      </c>
      <c r="G56" s="72" t="s">
        <v>376</v>
      </c>
      <c r="H56" s="34">
        <v>1</v>
      </c>
      <c r="I56" s="71" t="s">
        <v>375</v>
      </c>
      <c r="J56" s="32">
        <v>14</v>
      </c>
      <c r="K56" s="33">
        <f>VLOOKUP(E56,照明設備稼働時間!$A$4:$F$72,5,FALSE)</f>
        <v>1946</v>
      </c>
      <c r="L56" s="33" t="str">
        <f t="shared" si="0"/>
        <v>HQI250W 1防水型放電灯</v>
      </c>
      <c r="M56" s="33">
        <f>VLOOKUP(L56,照明器具一覧!$B$4:$F$155,5,FALSE)</f>
        <v>290</v>
      </c>
      <c r="N56" s="7">
        <v>0.7</v>
      </c>
      <c r="O56" s="82">
        <f t="shared" si="1"/>
        <v>5530.5320000000002</v>
      </c>
    </row>
    <row r="57" spans="1:15">
      <c r="A57" s="7" t="s">
        <v>598</v>
      </c>
      <c r="B57" s="6" t="s">
        <v>532</v>
      </c>
      <c r="C57" s="74" t="s">
        <v>57</v>
      </c>
      <c r="D57" s="75" t="s">
        <v>43</v>
      </c>
      <c r="E57" s="7" t="s">
        <v>80</v>
      </c>
      <c r="F57" s="76" t="s">
        <v>80</v>
      </c>
      <c r="G57" s="72" t="s">
        <v>106</v>
      </c>
      <c r="H57" s="34">
        <v>2</v>
      </c>
      <c r="I57" s="71" t="s">
        <v>366</v>
      </c>
      <c r="J57" s="32">
        <v>12</v>
      </c>
      <c r="K57" s="33">
        <f>VLOOKUP(E57,照明設備稼働時間!$A$4:$F$72,5,FALSE)</f>
        <v>1946</v>
      </c>
      <c r="L57" s="33" t="str">
        <f t="shared" si="0"/>
        <v>LW110V60W2ブラケット</v>
      </c>
      <c r="M57" s="33">
        <f>VLOOKUP(L57,照明器具一覧!$B$4:$F$155,5,FALSE)</f>
        <v>120</v>
      </c>
      <c r="N57" s="7">
        <v>1</v>
      </c>
      <c r="O57" s="82">
        <f t="shared" si="1"/>
        <v>2802.24</v>
      </c>
    </row>
    <row r="58" spans="1:15">
      <c r="A58" s="7" t="s">
        <v>599</v>
      </c>
      <c r="B58" s="6" t="s">
        <v>532</v>
      </c>
      <c r="C58" s="74" t="s">
        <v>58</v>
      </c>
      <c r="D58" s="75" t="s">
        <v>43</v>
      </c>
      <c r="E58" s="7" t="s">
        <v>509</v>
      </c>
      <c r="F58" s="76" t="s">
        <v>81</v>
      </c>
      <c r="G58" s="72" t="s">
        <v>448</v>
      </c>
      <c r="H58" s="34">
        <v>1</v>
      </c>
      <c r="I58" s="71" t="s">
        <v>367</v>
      </c>
      <c r="J58" s="32">
        <v>1</v>
      </c>
      <c r="K58" s="33">
        <f>VLOOKUP(E58,照明設備稼働時間!$A$4:$F$72,5,FALSE)</f>
        <v>4172</v>
      </c>
      <c r="L58" s="33" t="str">
        <f t="shared" si="0"/>
        <v>FDL27W1ダウンライト　φ150</v>
      </c>
      <c r="M58" s="33">
        <f>VLOOKUP(L58,照明器具一覧!$B$4:$F$155,5,FALSE)</f>
        <v>34</v>
      </c>
      <c r="N58" s="7">
        <v>1</v>
      </c>
      <c r="O58" s="82">
        <f t="shared" si="1"/>
        <v>141.84800000000001</v>
      </c>
    </row>
    <row r="59" spans="1:15">
      <c r="A59" s="7" t="s">
        <v>600</v>
      </c>
      <c r="B59" s="6" t="s">
        <v>532</v>
      </c>
      <c r="C59" s="74" t="s">
        <v>27</v>
      </c>
      <c r="D59" s="75" t="s">
        <v>43</v>
      </c>
      <c r="E59" s="7" t="s">
        <v>509</v>
      </c>
      <c r="F59" s="76" t="s">
        <v>81</v>
      </c>
      <c r="G59" s="72" t="s">
        <v>446</v>
      </c>
      <c r="H59" s="34">
        <v>2</v>
      </c>
      <c r="I59" s="71" t="s">
        <v>360</v>
      </c>
      <c r="J59" s="32">
        <v>1</v>
      </c>
      <c r="K59" s="33">
        <f>VLOOKUP(E59,照明設備稼働時間!$A$4:$F$72,5,FALSE)</f>
        <v>4172</v>
      </c>
      <c r="L59" s="33" t="str">
        <f t="shared" si="0"/>
        <v>FPL28W2埋込　スクエア□350</v>
      </c>
      <c r="M59" s="33">
        <f>VLOOKUP(L59,照明器具一覧!$B$4:$F$155,5,FALSE)</f>
        <v>31</v>
      </c>
      <c r="N59" s="7">
        <v>0.5</v>
      </c>
      <c r="O59" s="82">
        <f t="shared" si="1"/>
        <v>64.665999999999997</v>
      </c>
    </row>
    <row r="60" spans="1:15">
      <c r="A60" s="7" t="s">
        <v>601</v>
      </c>
      <c r="B60" s="6" t="s">
        <v>532</v>
      </c>
      <c r="C60" s="74" t="s">
        <v>59</v>
      </c>
      <c r="D60" s="75" t="s">
        <v>43</v>
      </c>
      <c r="E60" s="7" t="s">
        <v>509</v>
      </c>
      <c r="F60" s="76" t="s">
        <v>36</v>
      </c>
      <c r="G60" s="72" t="s">
        <v>446</v>
      </c>
      <c r="H60" s="34">
        <v>2</v>
      </c>
      <c r="I60" s="71" t="s">
        <v>377</v>
      </c>
      <c r="J60" s="32">
        <v>5</v>
      </c>
      <c r="K60" s="33">
        <f>VLOOKUP(E60,照明設備稼働時間!$A$4:$F$72,5,FALSE)</f>
        <v>4172</v>
      </c>
      <c r="L60" s="33" t="str">
        <f t="shared" si="0"/>
        <v>FPL28W2埋込　スクエア□275</v>
      </c>
      <c r="M60" s="33">
        <f>VLOOKUP(L60,照明器具一覧!$B$4:$F$155,5,FALSE)</f>
        <v>31</v>
      </c>
      <c r="N60" s="7">
        <v>0.5</v>
      </c>
      <c r="O60" s="82">
        <f t="shared" si="1"/>
        <v>323.33</v>
      </c>
    </row>
    <row r="61" spans="1:15">
      <c r="A61" s="7" t="s">
        <v>602</v>
      </c>
      <c r="B61" s="6" t="s">
        <v>532</v>
      </c>
      <c r="C61" s="74" t="s">
        <v>27</v>
      </c>
      <c r="D61" s="75" t="s">
        <v>43</v>
      </c>
      <c r="E61" s="7" t="s">
        <v>509</v>
      </c>
      <c r="F61" s="76" t="s">
        <v>36</v>
      </c>
      <c r="G61" s="72" t="s">
        <v>446</v>
      </c>
      <c r="H61" s="34">
        <v>2</v>
      </c>
      <c r="I61" s="71" t="s">
        <v>377</v>
      </c>
      <c r="J61" s="32">
        <v>4</v>
      </c>
      <c r="K61" s="33">
        <f>VLOOKUP(E61,照明設備稼働時間!$A$4:$F$72,5,FALSE)</f>
        <v>4172</v>
      </c>
      <c r="L61" s="33" t="str">
        <f t="shared" si="0"/>
        <v>FPL28W2埋込　スクエア□275</v>
      </c>
      <c r="M61" s="33">
        <f>VLOOKUP(L61,照明器具一覧!$B$4:$F$155,5,FALSE)</f>
        <v>31</v>
      </c>
      <c r="N61" s="7">
        <v>1</v>
      </c>
      <c r="O61" s="82">
        <f t="shared" si="1"/>
        <v>517.32799999999997</v>
      </c>
    </row>
    <row r="62" spans="1:15">
      <c r="A62" s="7" t="s">
        <v>603</v>
      </c>
      <c r="B62" s="6" t="s">
        <v>532</v>
      </c>
      <c r="C62" s="74" t="s">
        <v>60</v>
      </c>
      <c r="D62" s="75" t="s">
        <v>43</v>
      </c>
      <c r="E62" s="7" t="s">
        <v>509</v>
      </c>
      <c r="F62" s="76" t="s">
        <v>82</v>
      </c>
      <c r="G62" s="72" t="s">
        <v>111</v>
      </c>
      <c r="H62" s="34">
        <v>1</v>
      </c>
      <c r="I62" s="71" t="s">
        <v>115</v>
      </c>
      <c r="J62" s="32">
        <v>3</v>
      </c>
      <c r="K62" s="33">
        <f>VLOOKUP(E62,照明設備稼働時間!$A$4:$F$72,5,FALSE)</f>
        <v>4172</v>
      </c>
      <c r="L62" s="33" t="str">
        <f t="shared" si="0"/>
        <v>FHF32W1黒板灯　カバー付　W220</v>
      </c>
      <c r="M62" s="33">
        <f>VLOOKUP(L62,照明器具一覧!$B$4:$F$155,5,FALSE)</f>
        <v>47</v>
      </c>
      <c r="N62" s="7">
        <v>1</v>
      </c>
      <c r="O62" s="82">
        <f t="shared" si="1"/>
        <v>588.25199999999995</v>
      </c>
    </row>
    <row r="63" spans="1:15">
      <c r="A63" s="7" t="s">
        <v>604</v>
      </c>
      <c r="B63" s="6" t="s">
        <v>532</v>
      </c>
      <c r="C63" s="74" t="s">
        <v>61</v>
      </c>
      <c r="D63" s="75" t="s">
        <v>43</v>
      </c>
      <c r="E63" s="7" t="s">
        <v>509</v>
      </c>
      <c r="F63" s="76" t="s">
        <v>83</v>
      </c>
      <c r="G63" s="72" t="s">
        <v>379</v>
      </c>
      <c r="H63" s="34">
        <v>1</v>
      </c>
      <c r="I63" s="71" t="s">
        <v>378</v>
      </c>
      <c r="J63" s="32">
        <v>2</v>
      </c>
      <c r="K63" s="33">
        <f>VLOOKUP(E63,照明設備稼働時間!$A$4:$F$72,5,FALSE)</f>
        <v>4172</v>
      </c>
      <c r="L63" s="33" t="str">
        <f t="shared" si="0"/>
        <v>IL50W1ダウンライト　φ75</v>
      </c>
      <c r="M63" s="33">
        <f>VLOOKUP(L63,照明器具一覧!$B$4:$F$155,5,FALSE)</f>
        <v>50</v>
      </c>
      <c r="N63" s="7">
        <v>1</v>
      </c>
      <c r="O63" s="82">
        <f t="shared" si="1"/>
        <v>417.2</v>
      </c>
    </row>
    <row r="64" spans="1:15">
      <c r="A64" s="7" t="s">
        <v>605</v>
      </c>
      <c r="B64" s="6" t="s">
        <v>532</v>
      </c>
      <c r="C64" s="74" t="s">
        <v>61</v>
      </c>
      <c r="D64" s="75" t="s">
        <v>43</v>
      </c>
      <c r="E64" s="7" t="s">
        <v>509</v>
      </c>
      <c r="F64" s="76" t="s">
        <v>83</v>
      </c>
      <c r="G64" s="72" t="s">
        <v>379</v>
      </c>
      <c r="H64" s="34">
        <v>1</v>
      </c>
      <c r="I64" s="71" t="s">
        <v>378</v>
      </c>
      <c r="J64" s="32">
        <v>2</v>
      </c>
      <c r="K64" s="33">
        <f>VLOOKUP(E64,照明設備稼働時間!$A$4:$F$72,5,FALSE)</f>
        <v>4172</v>
      </c>
      <c r="L64" s="33" t="str">
        <f t="shared" si="0"/>
        <v>IL50W1ダウンライト　φ75</v>
      </c>
      <c r="M64" s="33">
        <f>VLOOKUP(L64,照明器具一覧!$B$4:$F$155,5,FALSE)</f>
        <v>50</v>
      </c>
      <c r="N64" s="7">
        <v>1</v>
      </c>
      <c r="O64" s="82">
        <f t="shared" si="1"/>
        <v>417.2</v>
      </c>
    </row>
    <row r="65" spans="1:15">
      <c r="A65" s="7" t="s">
        <v>606</v>
      </c>
      <c r="B65" s="6" t="s">
        <v>532</v>
      </c>
      <c r="C65" s="74" t="s">
        <v>61</v>
      </c>
      <c r="D65" s="75" t="s">
        <v>43</v>
      </c>
      <c r="E65" s="7" t="s">
        <v>509</v>
      </c>
      <c r="F65" s="76" t="s">
        <v>83</v>
      </c>
      <c r="G65" s="72" t="s">
        <v>379</v>
      </c>
      <c r="H65" s="34">
        <v>1</v>
      </c>
      <c r="I65" s="71" t="s">
        <v>378</v>
      </c>
      <c r="J65" s="32">
        <v>2</v>
      </c>
      <c r="K65" s="33">
        <f>VLOOKUP(E65,照明設備稼働時間!$A$4:$F$72,5,FALSE)</f>
        <v>4172</v>
      </c>
      <c r="L65" s="33" t="str">
        <f t="shared" si="0"/>
        <v>IL50W1ダウンライト　φ75</v>
      </c>
      <c r="M65" s="33">
        <f>VLOOKUP(L65,照明器具一覧!$B$4:$F$155,5,FALSE)</f>
        <v>50</v>
      </c>
      <c r="N65" s="7">
        <v>1</v>
      </c>
      <c r="O65" s="82">
        <f t="shared" si="1"/>
        <v>417.2</v>
      </c>
    </row>
    <row r="66" spans="1:15">
      <c r="A66" s="7" t="s">
        <v>607</v>
      </c>
      <c r="B66" s="6" t="s">
        <v>532</v>
      </c>
      <c r="C66" s="74" t="s">
        <v>62</v>
      </c>
      <c r="D66" s="75" t="s">
        <v>43</v>
      </c>
      <c r="E66" s="7" t="s">
        <v>509</v>
      </c>
      <c r="F66" s="76" t="s">
        <v>83</v>
      </c>
      <c r="G66" s="72" t="s">
        <v>38</v>
      </c>
      <c r="H66" s="34">
        <v>2</v>
      </c>
      <c r="I66" s="71" t="s">
        <v>359</v>
      </c>
      <c r="J66" s="32">
        <v>12</v>
      </c>
      <c r="K66" s="33">
        <f>VLOOKUP(E66,照明設備稼働時間!$A$4:$F$72,5,FALSE)</f>
        <v>4172</v>
      </c>
      <c r="L66" s="33" t="str">
        <f t="shared" si="0"/>
        <v>FL40W2埋込W300</v>
      </c>
      <c r="M66" s="33">
        <f>VLOOKUP(L66,照明器具一覧!$B$4:$F$155,5,FALSE)</f>
        <v>94</v>
      </c>
      <c r="N66" s="7">
        <v>0.5</v>
      </c>
      <c r="O66" s="82">
        <f t="shared" si="1"/>
        <v>2353.0079999999998</v>
      </c>
    </row>
    <row r="67" spans="1:15">
      <c r="A67" s="7" t="s">
        <v>608</v>
      </c>
      <c r="B67" s="6" t="s">
        <v>532</v>
      </c>
      <c r="C67" s="74" t="s">
        <v>63</v>
      </c>
      <c r="D67" s="75" t="s">
        <v>43</v>
      </c>
      <c r="E67" s="7" t="s">
        <v>509</v>
      </c>
      <c r="F67" s="76" t="s">
        <v>83</v>
      </c>
      <c r="G67" s="72" t="s">
        <v>147</v>
      </c>
      <c r="H67" s="34">
        <v>1</v>
      </c>
      <c r="I67" s="71" t="s">
        <v>380</v>
      </c>
      <c r="J67" s="32">
        <v>8</v>
      </c>
      <c r="K67" s="33">
        <f>VLOOKUP(E67,照明設備稼働時間!$A$4:$F$72,5,FALSE)</f>
        <v>4172</v>
      </c>
      <c r="L67" s="33" t="str">
        <f t="shared" si="0"/>
        <v>IL40W1埋込</v>
      </c>
      <c r="M67" s="33">
        <f>VLOOKUP(L67,照明器具一覧!$B$4:$F$155,5,FALSE)</f>
        <v>40</v>
      </c>
      <c r="N67" s="7">
        <v>1</v>
      </c>
      <c r="O67" s="82">
        <f t="shared" si="1"/>
        <v>1335.04</v>
      </c>
    </row>
    <row r="68" spans="1:15">
      <c r="A68" s="7" t="s">
        <v>609</v>
      </c>
      <c r="B68" s="6" t="s">
        <v>532</v>
      </c>
      <c r="C68" s="74" t="s">
        <v>381</v>
      </c>
      <c r="D68" s="75" t="s">
        <v>43</v>
      </c>
      <c r="E68" s="7" t="s">
        <v>509</v>
      </c>
      <c r="F68" s="76" t="s">
        <v>83</v>
      </c>
      <c r="G68" s="72" t="s">
        <v>147</v>
      </c>
      <c r="H68" s="34">
        <v>1</v>
      </c>
      <c r="I68" s="71" t="s">
        <v>382</v>
      </c>
      <c r="J68" s="32">
        <v>4</v>
      </c>
      <c r="K68" s="33">
        <f>VLOOKUP(E68,照明設備稼働時間!$A$4:$F$72,5,FALSE)</f>
        <v>4172</v>
      </c>
      <c r="L68" s="33" t="str">
        <f t="shared" ref="L68:L131" si="2">G68&amp;H68&amp;I68</f>
        <v>IL40W1埋込　電源別置</v>
      </c>
      <c r="M68" s="33">
        <f>VLOOKUP(L68,照明器具一覧!$B$4:$F$155,5,FALSE)</f>
        <v>40</v>
      </c>
      <c r="N68" s="7">
        <v>1</v>
      </c>
      <c r="O68" s="82">
        <f t="shared" ref="O68:O131" si="3">(J68*K68*M68*N68)/1000</f>
        <v>667.52</v>
      </c>
    </row>
    <row r="69" spans="1:15">
      <c r="A69" s="7" t="s">
        <v>610</v>
      </c>
      <c r="B69" s="6" t="s">
        <v>532</v>
      </c>
      <c r="C69" s="74" t="s">
        <v>27</v>
      </c>
      <c r="D69" s="75" t="s">
        <v>43</v>
      </c>
      <c r="E69" s="7" t="s">
        <v>509</v>
      </c>
      <c r="F69" s="76" t="s">
        <v>83</v>
      </c>
      <c r="G69" s="72" t="s">
        <v>446</v>
      </c>
      <c r="H69" s="34">
        <v>2</v>
      </c>
      <c r="I69" s="71" t="s">
        <v>360</v>
      </c>
      <c r="J69" s="32">
        <v>5</v>
      </c>
      <c r="K69" s="33">
        <f>VLOOKUP(E69,照明設備稼働時間!$A$4:$F$72,5,FALSE)</f>
        <v>4172</v>
      </c>
      <c r="L69" s="33" t="str">
        <f t="shared" si="2"/>
        <v>FPL28W2埋込　スクエア□350</v>
      </c>
      <c r="M69" s="33">
        <f>VLOOKUP(L69,照明器具一覧!$B$4:$F$155,5,FALSE)</f>
        <v>31</v>
      </c>
      <c r="N69" s="7">
        <v>1</v>
      </c>
      <c r="O69" s="82">
        <f t="shared" si="3"/>
        <v>646.66</v>
      </c>
    </row>
    <row r="70" spans="1:15">
      <c r="A70" s="7" t="s">
        <v>611</v>
      </c>
      <c r="B70" s="6" t="s">
        <v>532</v>
      </c>
      <c r="C70" s="74" t="s">
        <v>64</v>
      </c>
      <c r="D70" s="75" t="s">
        <v>43</v>
      </c>
      <c r="E70" s="7" t="s">
        <v>1056</v>
      </c>
      <c r="F70" s="76" t="s">
        <v>84</v>
      </c>
      <c r="G70" s="72" t="s">
        <v>107</v>
      </c>
      <c r="H70" s="34">
        <v>1</v>
      </c>
      <c r="I70" s="71" t="s">
        <v>374</v>
      </c>
      <c r="J70" s="32">
        <v>27</v>
      </c>
      <c r="K70" s="33">
        <f>VLOOKUP(E70,照明設備稼働時間!$A$4:$F$72,5,FALSE)</f>
        <v>1236</v>
      </c>
      <c r="L70" s="33" t="str">
        <f t="shared" si="2"/>
        <v>KR60W1ダウンライト　φ125</v>
      </c>
      <c r="M70" s="33">
        <f>VLOOKUP(L70,照明器具一覧!$B$4:$F$155,5,FALSE)</f>
        <v>60</v>
      </c>
      <c r="N70" s="7">
        <v>1</v>
      </c>
      <c r="O70" s="82">
        <f t="shared" si="3"/>
        <v>2002.32</v>
      </c>
    </row>
    <row r="71" spans="1:15">
      <c r="A71" s="7" t="s">
        <v>612</v>
      </c>
      <c r="B71" s="6" t="s">
        <v>532</v>
      </c>
      <c r="C71" s="74" t="s">
        <v>65</v>
      </c>
      <c r="D71" s="75" t="s">
        <v>43</v>
      </c>
      <c r="E71" s="7" t="s">
        <v>1056</v>
      </c>
      <c r="F71" s="76" t="s">
        <v>84</v>
      </c>
      <c r="G71" s="72" t="s">
        <v>107</v>
      </c>
      <c r="H71" s="34">
        <v>1</v>
      </c>
      <c r="I71" s="71" t="s">
        <v>374</v>
      </c>
      <c r="J71" s="32">
        <v>8</v>
      </c>
      <c r="K71" s="33">
        <f>VLOOKUP(E71,照明設備稼働時間!$A$4:$F$72,5,FALSE)</f>
        <v>1236</v>
      </c>
      <c r="L71" s="33" t="str">
        <f t="shared" si="2"/>
        <v>KR60W1ダウンライト　φ125</v>
      </c>
      <c r="M71" s="33">
        <f>VLOOKUP(L71,照明器具一覧!$B$4:$F$155,5,FALSE)</f>
        <v>60</v>
      </c>
      <c r="N71" s="7">
        <v>1</v>
      </c>
      <c r="O71" s="82">
        <f t="shared" si="3"/>
        <v>593.28</v>
      </c>
    </row>
    <row r="72" spans="1:15">
      <c r="A72" s="7" t="s">
        <v>613</v>
      </c>
      <c r="B72" s="6" t="s">
        <v>532</v>
      </c>
      <c r="C72" s="74"/>
      <c r="D72" s="75" t="s">
        <v>43</v>
      </c>
      <c r="E72" s="7" t="s">
        <v>509</v>
      </c>
      <c r="F72" s="76" t="s">
        <v>85</v>
      </c>
      <c r="G72" s="72" t="s">
        <v>112</v>
      </c>
      <c r="H72" s="34">
        <v>2</v>
      </c>
      <c r="I72" s="71" t="s">
        <v>360</v>
      </c>
      <c r="J72" s="32">
        <v>2</v>
      </c>
      <c r="K72" s="33">
        <f>VLOOKUP(E72,照明設備稼働時間!$A$4:$F$72,5,FALSE)</f>
        <v>4172</v>
      </c>
      <c r="L72" s="33" t="str">
        <f t="shared" si="2"/>
        <v>FHP23W2埋込　スクエア□350</v>
      </c>
      <c r="M72" s="33">
        <f>VLOOKUP(L72,照明器具一覧!$B$4:$F$155,5,FALSE)</f>
        <v>23</v>
      </c>
      <c r="N72" s="7">
        <v>1</v>
      </c>
      <c r="O72" s="82">
        <f t="shared" si="3"/>
        <v>191.91200000000001</v>
      </c>
    </row>
    <row r="73" spans="1:15">
      <c r="A73" s="7" t="s">
        <v>614</v>
      </c>
      <c r="B73" s="6" t="s">
        <v>532</v>
      </c>
      <c r="C73" s="74" t="s">
        <v>67</v>
      </c>
      <c r="D73" s="75" t="s">
        <v>43</v>
      </c>
      <c r="E73" s="7" t="s">
        <v>1056</v>
      </c>
      <c r="F73" s="76" t="s">
        <v>86</v>
      </c>
      <c r="G73" s="72" t="s">
        <v>38</v>
      </c>
      <c r="H73" s="34">
        <v>2</v>
      </c>
      <c r="I73" s="71" t="s">
        <v>383</v>
      </c>
      <c r="J73" s="32">
        <v>4</v>
      </c>
      <c r="K73" s="33">
        <f>VLOOKUP(E73,照明設備稼働時間!$A$4:$F$72,5,FALSE)</f>
        <v>1236</v>
      </c>
      <c r="L73" s="33" t="str">
        <f t="shared" si="2"/>
        <v>FL40W2逆富士　防湿型</v>
      </c>
      <c r="M73" s="33">
        <f>VLOOKUP(L73,照明器具一覧!$B$4:$F$155,5,FALSE)</f>
        <v>94</v>
      </c>
      <c r="N73" s="7">
        <v>1</v>
      </c>
      <c r="O73" s="82">
        <f t="shared" si="3"/>
        <v>464.73599999999999</v>
      </c>
    </row>
    <row r="74" spans="1:15">
      <c r="A74" s="7" t="s">
        <v>615</v>
      </c>
      <c r="B74" s="6" t="s">
        <v>532</v>
      </c>
      <c r="C74" s="74" t="s">
        <v>50</v>
      </c>
      <c r="D74" s="75" t="s">
        <v>43</v>
      </c>
      <c r="E74" s="7" t="s">
        <v>1099</v>
      </c>
      <c r="F74" s="76" t="s">
        <v>77</v>
      </c>
      <c r="G74" s="72" t="s">
        <v>38</v>
      </c>
      <c r="H74" s="34">
        <v>1</v>
      </c>
      <c r="I74" s="71" t="s">
        <v>359</v>
      </c>
      <c r="J74" s="32">
        <v>1</v>
      </c>
      <c r="K74" s="33">
        <f>VLOOKUP(E74,照明設備稼働時間!$A$4:$F$72,5,FALSE)</f>
        <v>1854</v>
      </c>
      <c r="L74" s="33" t="str">
        <f t="shared" si="2"/>
        <v>FL40W1埋込W300</v>
      </c>
      <c r="M74" s="33">
        <f>VLOOKUP(L74,照明器具一覧!$B$4:$F$155,5,FALSE)</f>
        <v>47</v>
      </c>
      <c r="N74" s="7">
        <v>1</v>
      </c>
      <c r="O74" s="82">
        <f t="shared" si="3"/>
        <v>87.138000000000005</v>
      </c>
    </row>
    <row r="75" spans="1:15">
      <c r="A75" s="7" t="s">
        <v>616</v>
      </c>
      <c r="B75" s="6" t="s">
        <v>532</v>
      </c>
      <c r="C75" s="74"/>
      <c r="D75" s="75" t="s">
        <v>43</v>
      </c>
      <c r="E75" s="7" t="s">
        <v>1099</v>
      </c>
      <c r="F75" s="76" t="s">
        <v>77</v>
      </c>
      <c r="G75" s="72" t="s">
        <v>194</v>
      </c>
      <c r="H75" s="34">
        <v>1</v>
      </c>
      <c r="I75" s="71" t="s">
        <v>412</v>
      </c>
      <c r="J75" s="32">
        <v>1</v>
      </c>
      <c r="K75" s="33">
        <f>VLOOKUP(E75,照明設備稼働時間!$A$4:$F$72,5,FALSE)</f>
        <v>1854</v>
      </c>
      <c r="L75" s="33" t="str">
        <f t="shared" si="2"/>
        <v>FL15W1ミラー灯</v>
      </c>
      <c r="M75" s="33">
        <f>VLOOKUP(L75,照明器具一覧!$B$4:$F$155,5,FALSE)</f>
        <v>15</v>
      </c>
      <c r="N75" s="7">
        <v>1</v>
      </c>
      <c r="O75" s="82">
        <f t="shared" si="3"/>
        <v>27.81</v>
      </c>
    </row>
    <row r="76" spans="1:15">
      <c r="A76" s="7" t="s">
        <v>617</v>
      </c>
      <c r="B76" s="6" t="s">
        <v>532</v>
      </c>
      <c r="C76" s="74" t="s">
        <v>50</v>
      </c>
      <c r="D76" s="75" t="s">
        <v>43</v>
      </c>
      <c r="E76" s="7" t="s">
        <v>1098</v>
      </c>
      <c r="F76" s="76" t="s">
        <v>87</v>
      </c>
      <c r="G76" s="72" t="s">
        <v>38</v>
      </c>
      <c r="H76" s="34">
        <v>1</v>
      </c>
      <c r="I76" s="71" t="s">
        <v>359</v>
      </c>
      <c r="J76" s="32">
        <v>1</v>
      </c>
      <c r="K76" s="33">
        <f>VLOOKUP(E76,照明設備稼働時間!$A$4:$F$72,5,FALSE)</f>
        <v>1854</v>
      </c>
      <c r="L76" s="33" t="str">
        <f t="shared" si="2"/>
        <v>FL40W1埋込W300</v>
      </c>
      <c r="M76" s="33">
        <f>VLOOKUP(L76,照明器具一覧!$B$4:$F$155,5,FALSE)</f>
        <v>47</v>
      </c>
      <c r="N76" s="7">
        <v>1</v>
      </c>
      <c r="O76" s="82">
        <f t="shared" si="3"/>
        <v>87.138000000000005</v>
      </c>
    </row>
    <row r="77" spans="1:15">
      <c r="A77" s="7" t="s">
        <v>618</v>
      </c>
      <c r="B77" s="6" t="s">
        <v>532</v>
      </c>
      <c r="C77" s="74" t="s">
        <v>45</v>
      </c>
      <c r="D77" s="75" t="s">
        <v>43</v>
      </c>
      <c r="E77" s="7" t="s">
        <v>1098</v>
      </c>
      <c r="F77" s="76" t="s">
        <v>87</v>
      </c>
      <c r="G77" s="72" t="s">
        <v>340</v>
      </c>
      <c r="H77" s="34">
        <v>1</v>
      </c>
      <c r="I77" s="71" t="s">
        <v>367</v>
      </c>
      <c r="J77" s="32">
        <v>2</v>
      </c>
      <c r="K77" s="33">
        <f>VLOOKUP(E77,照明設備稼働時間!$A$4:$F$72,5,FALSE)</f>
        <v>1854</v>
      </c>
      <c r="L77" s="33" t="str">
        <f t="shared" si="2"/>
        <v>FDL18W1ダウンライト　φ150</v>
      </c>
      <c r="M77" s="33">
        <f>VLOOKUP(L77,照明器具一覧!$B$4:$F$155,5,FALSE)</f>
        <v>22</v>
      </c>
      <c r="N77" s="7">
        <v>1</v>
      </c>
      <c r="O77" s="82">
        <f t="shared" si="3"/>
        <v>81.575999999999993</v>
      </c>
    </row>
    <row r="78" spans="1:15">
      <c r="A78" s="7" t="s">
        <v>619</v>
      </c>
      <c r="B78" s="6" t="s">
        <v>532</v>
      </c>
      <c r="C78" s="74" t="s">
        <v>55</v>
      </c>
      <c r="D78" s="75" t="s">
        <v>43</v>
      </c>
      <c r="E78" s="7" t="s">
        <v>1098</v>
      </c>
      <c r="F78" s="76" t="s">
        <v>87</v>
      </c>
      <c r="G78" s="72" t="s">
        <v>38</v>
      </c>
      <c r="H78" s="34">
        <v>1</v>
      </c>
      <c r="I78" s="71" t="s">
        <v>357</v>
      </c>
      <c r="J78" s="32">
        <v>2</v>
      </c>
      <c r="K78" s="33">
        <f>VLOOKUP(E78,照明設備稼働時間!$A$4:$F$72,5,FALSE)</f>
        <v>1854</v>
      </c>
      <c r="L78" s="33" t="str">
        <f t="shared" si="2"/>
        <v>FL40W1トラフ</v>
      </c>
      <c r="M78" s="33">
        <f>VLOOKUP(L78,照明器具一覧!$B$4:$F$155,5,FALSE)</f>
        <v>47</v>
      </c>
      <c r="N78" s="7">
        <v>1</v>
      </c>
      <c r="O78" s="82">
        <f t="shared" si="3"/>
        <v>174.27600000000001</v>
      </c>
    </row>
    <row r="79" spans="1:15">
      <c r="A79" s="7" t="s">
        <v>620</v>
      </c>
      <c r="B79" s="6" t="s">
        <v>532</v>
      </c>
      <c r="C79" s="74" t="s">
        <v>50</v>
      </c>
      <c r="D79" s="75" t="s">
        <v>43</v>
      </c>
      <c r="E79" s="7" t="s">
        <v>1099</v>
      </c>
      <c r="F79" s="76" t="s">
        <v>77</v>
      </c>
      <c r="G79" s="72" t="s">
        <v>38</v>
      </c>
      <c r="H79" s="34">
        <v>1</v>
      </c>
      <c r="I79" s="71" t="s">
        <v>371</v>
      </c>
      <c r="J79" s="32">
        <v>1</v>
      </c>
      <c r="K79" s="33">
        <f>VLOOKUP(E79,照明設備稼働時間!$A$4:$F$72,5,FALSE)</f>
        <v>1854</v>
      </c>
      <c r="L79" s="33" t="str">
        <f t="shared" si="2"/>
        <v>FL40W1埋込W220</v>
      </c>
      <c r="M79" s="33">
        <f>VLOOKUP(L79,照明器具一覧!$B$4:$F$155,5,FALSE)</f>
        <v>47</v>
      </c>
      <c r="N79" s="7">
        <v>1</v>
      </c>
      <c r="O79" s="82">
        <f t="shared" si="3"/>
        <v>87.138000000000005</v>
      </c>
    </row>
    <row r="80" spans="1:15">
      <c r="A80" s="7" t="s">
        <v>621</v>
      </c>
      <c r="B80" s="6" t="s">
        <v>532</v>
      </c>
      <c r="C80" s="74"/>
      <c r="D80" s="75" t="s">
        <v>43</v>
      </c>
      <c r="E80" s="7" t="s">
        <v>1099</v>
      </c>
      <c r="F80" s="76" t="s">
        <v>77</v>
      </c>
      <c r="G80" s="72" t="s">
        <v>194</v>
      </c>
      <c r="H80" s="34">
        <v>1</v>
      </c>
      <c r="I80" s="71" t="s">
        <v>412</v>
      </c>
      <c r="J80" s="32">
        <v>1</v>
      </c>
      <c r="K80" s="33">
        <f>VLOOKUP(E80,照明設備稼働時間!$A$4:$F$72,5,FALSE)</f>
        <v>1854</v>
      </c>
      <c r="L80" s="33" t="str">
        <f t="shared" si="2"/>
        <v>FL15W1ミラー灯</v>
      </c>
      <c r="M80" s="33">
        <f>VLOOKUP(L80,照明器具一覧!$B$4:$F$155,5,FALSE)</f>
        <v>15</v>
      </c>
      <c r="N80" s="7">
        <v>1</v>
      </c>
      <c r="O80" s="82">
        <f t="shared" si="3"/>
        <v>27.81</v>
      </c>
    </row>
    <row r="81" spans="1:15">
      <c r="A81" s="7" t="s">
        <v>622</v>
      </c>
      <c r="B81" s="6" t="s">
        <v>532</v>
      </c>
      <c r="C81" s="74" t="s">
        <v>50</v>
      </c>
      <c r="D81" s="75" t="s">
        <v>43</v>
      </c>
      <c r="E81" s="7" t="s">
        <v>1098</v>
      </c>
      <c r="F81" s="76" t="s">
        <v>88</v>
      </c>
      <c r="G81" s="72" t="s">
        <v>38</v>
      </c>
      <c r="H81" s="34">
        <v>1</v>
      </c>
      <c r="I81" s="71" t="s">
        <v>371</v>
      </c>
      <c r="J81" s="32">
        <v>1</v>
      </c>
      <c r="K81" s="33">
        <f>VLOOKUP(E81,照明設備稼働時間!$A$4:$F$72,5,FALSE)</f>
        <v>1854</v>
      </c>
      <c r="L81" s="33" t="str">
        <f t="shared" si="2"/>
        <v>FL40W1埋込W220</v>
      </c>
      <c r="M81" s="33">
        <f>VLOOKUP(L81,照明器具一覧!$B$4:$F$155,5,FALSE)</f>
        <v>47</v>
      </c>
      <c r="N81" s="7">
        <v>1</v>
      </c>
      <c r="O81" s="82">
        <f t="shared" si="3"/>
        <v>87.138000000000005</v>
      </c>
    </row>
    <row r="82" spans="1:15">
      <c r="A82" s="7" t="s">
        <v>623</v>
      </c>
      <c r="B82" s="6" t="s">
        <v>532</v>
      </c>
      <c r="C82" s="74" t="s">
        <v>45</v>
      </c>
      <c r="D82" s="75" t="s">
        <v>43</v>
      </c>
      <c r="E82" s="7" t="s">
        <v>1098</v>
      </c>
      <c r="F82" s="76" t="s">
        <v>88</v>
      </c>
      <c r="G82" s="72" t="s">
        <v>340</v>
      </c>
      <c r="H82" s="34">
        <v>1</v>
      </c>
      <c r="I82" s="71" t="s">
        <v>367</v>
      </c>
      <c r="J82" s="32">
        <v>3</v>
      </c>
      <c r="K82" s="33">
        <f>VLOOKUP(E82,照明設備稼働時間!$A$4:$F$72,5,FALSE)</f>
        <v>1854</v>
      </c>
      <c r="L82" s="33" t="str">
        <f t="shared" si="2"/>
        <v>FDL18W1ダウンライト　φ150</v>
      </c>
      <c r="M82" s="33">
        <f>VLOOKUP(L82,照明器具一覧!$B$4:$F$155,5,FALSE)</f>
        <v>22</v>
      </c>
      <c r="N82" s="7">
        <v>1</v>
      </c>
      <c r="O82" s="82">
        <f t="shared" si="3"/>
        <v>122.364</v>
      </c>
    </row>
    <row r="83" spans="1:15">
      <c r="A83" s="7" t="s">
        <v>624</v>
      </c>
      <c r="B83" s="6" t="s">
        <v>532</v>
      </c>
      <c r="C83" s="74" t="s">
        <v>55</v>
      </c>
      <c r="D83" s="75" t="s">
        <v>43</v>
      </c>
      <c r="E83" s="7" t="s">
        <v>1098</v>
      </c>
      <c r="F83" s="76" t="s">
        <v>88</v>
      </c>
      <c r="G83" s="72" t="s">
        <v>38</v>
      </c>
      <c r="H83" s="34">
        <v>1</v>
      </c>
      <c r="I83" s="71" t="s">
        <v>357</v>
      </c>
      <c r="J83" s="32">
        <v>3</v>
      </c>
      <c r="K83" s="33">
        <f>VLOOKUP(E83,照明設備稼働時間!$A$4:$F$72,5,FALSE)</f>
        <v>1854</v>
      </c>
      <c r="L83" s="33" t="str">
        <f t="shared" si="2"/>
        <v>FL40W1トラフ</v>
      </c>
      <c r="M83" s="33">
        <f>VLOOKUP(L83,照明器具一覧!$B$4:$F$155,5,FALSE)</f>
        <v>47</v>
      </c>
      <c r="N83" s="7">
        <v>1</v>
      </c>
      <c r="O83" s="82">
        <f t="shared" si="3"/>
        <v>261.41399999999999</v>
      </c>
    </row>
    <row r="84" spans="1:15">
      <c r="A84" s="7" t="s">
        <v>625</v>
      </c>
      <c r="B84" s="6" t="s">
        <v>533</v>
      </c>
      <c r="C84" s="74" t="s">
        <v>53</v>
      </c>
      <c r="D84" s="75" t="s">
        <v>43</v>
      </c>
      <c r="E84" s="7" t="s">
        <v>1098</v>
      </c>
      <c r="F84" s="76" t="s">
        <v>89</v>
      </c>
      <c r="G84" s="72" t="s">
        <v>307</v>
      </c>
      <c r="H84" s="34">
        <v>1</v>
      </c>
      <c r="I84" s="71" t="s">
        <v>308</v>
      </c>
      <c r="J84" s="32">
        <v>1</v>
      </c>
      <c r="K84" s="33">
        <f>VLOOKUP(E84,照明設備稼働時間!$A$4:$F$72,5,FALSE)</f>
        <v>1854</v>
      </c>
      <c r="L84" s="33" t="str">
        <f t="shared" si="2"/>
        <v>LED1ダウンライト</v>
      </c>
      <c r="M84" s="33">
        <f>VLOOKUP(L84,照明器具一覧!$B$4:$F$155,5,FALSE)</f>
        <v>10</v>
      </c>
      <c r="N84" s="7">
        <v>1</v>
      </c>
      <c r="O84" s="82">
        <f t="shared" si="3"/>
        <v>18.54</v>
      </c>
    </row>
    <row r="85" spans="1:15">
      <c r="A85" s="7" t="s">
        <v>626</v>
      </c>
      <c r="B85" s="6" t="s">
        <v>532</v>
      </c>
      <c r="C85" s="74" t="s">
        <v>46</v>
      </c>
      <c r="D85" s="75" t="s">
        <v>43</v>
      </c>
      <c r="E85" s="7" t="s">
        <v>257</v>
      </c>
      <c r="F85" s="76" t="s">
        <v>90</v>
      </c>
      <c r="G85" s="72" t="s">
        <v>38</v>
      </c>
      <c r="H85" s="34">
        <v>2</v>
      </c>
      <c r="I85" s="71" t="s">
        <v>371</v>
      </c>
      <c r="J85" s="32">
        <v>10</v>
      </c>
      <c r="K85" s="33">
        <f>VLOOKUP(E85,照明設備稼働時間!$A$4:$F$72,5,FALSE)</f>
        <v>2163</v>
      </c>
      <c r="L85" s="33" t="str">
        <f t="shared" si="2"/>
        <v>FL40W2埋込W220</v>
      </c>
      <c r="M85" s="33">
        <f>VLOOKUP(L85,照明器具一覧!$B$4:$F$155,5,FALSE)</f>
        <v>94</v>
      </c>
      <c r="N85" s="7">
        <v>1</v>
      </c>
      <c r="O85" s="82">
        <f t="shared" si="3"/>
        <v>2033.22</v>
      </c>
    </row>
    <row r="86" spans="1:15">
      <c r="A86" s="7" t="s">
        <v>627</v>
      </c>
      <c r="B86" s="6" t="s">
        <v>532</v>
      </c>
      <c r="C86" s="74" t="s">
        <v>68</v>
      </c>
      <c r="D86" s="75" t="s">
        <v>43</v>
      </c>
      <c r="E86" s="7" t="s">
        <v>257</v>
      </c>
      <c r="F86" s="76" t="s">
        <v>90</v>
      </c>
      <c r="G86" s="72" t="s">
        <v>39</v>
      </c>
      <c r="H86" s="34">
        <v>2</v>
      </c>
      <c r="I86" s="71" t="s">
        <v>384</v>
      </c>
      <c r="J86" s="32">
        <v>3</v>
      </c>
      <c r="K86" s="33">
        <f>VLOOKUP(E86,照明設備稼働時間!$A$4:$F$72,5,FALSE)</f>
        <v>2163</v>
      </c>
      <c r="L86" s="33" t="str">
        <f t="shared" si="2"/>
        <v>FL40SW ＋PIL100V40WS35E172埋込W220　非常照明付　電源別置</v>
      </c>
      <c r="M86" s="33">
        <f>VLOOKUP(L86,照明器具一覧!$B$4:$F$155,5,FALSE)</f>
        <v>94</v>
      </c>
      <c r="N86" s="7">
        <v>1</v>
      </c>
      <c r="O86" s="82">
        <f t="shared" si="3"/>
        <v>609.96600000000001</v>
      </c>
    </row>
    <row r="87" spans="1:15">
      <c r="A87" s="7" t="s">
        <v>628</v>
      </c>
      <c r="B87" s="6" t="s">
        <v>532</v>
      </c>
      <c r="C87" s="74" t="s">
        <v>25</v>
      </c>
      <c r="D87" s="75" t="s">
        <v>43</v>
      </c>
      <c r="E87" s="7" t="s">
        <v>257</v>
      </c>
      <c r="F87" s="76" t="s">
        <v>90</v>
      </c>
      <c r="G87" s="72" t="s">
        <v>38</v>
      </c>
      <c r="H87" s="34">
        <v>3</v>
      </c>
      <c r="I87" s="71" t="s">
        <v>359</v>
      </c>
      <c r="J87" s="32">
        <v>6</v>
      </c>
      <c r="K87" s="33">
        <f>VLOOKUP(E87,照明設備稼働時間!$A$4:$F$72,5,FALSE)</f>
        <v>2163</v>
      </c>
      <c r="L87" s="33" t="str">
        <f t="shared" si="2"/>
        <v>FL40W3埋込W300</v>
      </c>
      <c r="M87" s="33">
        <f>VLOOKUP(L87,照明器具一覧!$B$4:$F$155,5,FALSE)</f>
        <v>141</v>
      </c>
      <c r="N87" s="7">
        <v>1</v>
      </c>
      <c r="O87" s="82">
        <f t="shared" si="3"/>
        <v>1829.8979999999999</v>
      </c>
    </row>
    <row r="88" spans="1:15">
      <c r="A88" s="7" t="s">
        <v>629</v>
      </c>
      <c r="B88" s="6" t="s">
        <v>532</v>
      </c>
      <c r="C88" s="74" t="s">
        <v>46</v>
      </c>
      <c r="D88" s="75" t="s">
        <v>43</v>
      </c>
      <c r="E88" s="7" t="s">
        <v>1052</v>
      </c>
      <c r="F88" s="76" t="s">
        <v>91</v>
      </c>
      <c r="G88" s="72" t="s">
        <v>38</v>
      </c>
      <c r="H88" s="34">
        <v>2</v>
      </c>
      <c r="I88" s="71" t="s">
        <v>371</v>
      </c>
      <c r="J88" s="32">
        <v>3</v>
      </c>
      <c r="K88" s="33">
        <f>VLOOKUP(E88,照明設備稼働時間!$A$4:$F$72,5,FALSE)</f>
        <v>1236</v>
      </c>
      <c r="L88" s="33" t="str">
        <f t="shared" si="2"/>
        <v>FL40W2埋込W220</v>
      </c>
      <c r="M88" s="33">
        <f>VLOOKUP(L88,照明器具一覧!$B$4:$F$155,5,FALSE)</f>
        <v>94</v>
      </c>
      <c r="N88" s="7">
        <v>1</v>
      </c>
      <c r="O88" s="82">
        <f t="shared" si="3"/>
        <v>348.55200000000002</v>
      </c>
    </row>
    <row r="89" spans="1:15">
      <c r="A89" s="7" t="s">
        <v>630</v>
      </c>
      <c r="B89" s="6" t="s">
        <v>532</v>
      </c>
      <c r="C89" s="74" t="s">
        <v>69</v>
      </c>
      <c r="D89" s="75" t="s">
        <v>43</v>
      </c>
      <c r="E89" s="7" t="s">
        <v>1052</v>
      </c>
      <c r="F89" s="76" t="s">
        <v>91</v>
      </c>
      <c r="G89" s="72" t="s">
        <v>385</v>
      </c>
      <c r="H89" s="34">
        <v>1</v>
      </c>
      <c r="I89" s="71" t="s">
        <v>367</v>
      </c>
      <c r="J89" s="32">
        <v>4</v>
      </c>
      <c r="K89" s="33">
        <f>VLOOKUP(E89,照明設備稼働時間!$A$4:$F$72,5,FALSE)</f>
        <v>1236</v>
      </c>
      <c r="L89" s="33" t="str">
        <f t="shared" si="2"/>
        <v>IL100W1ダウンライト　φ150</v>
      </c>
      <c r="M89" s="33">
        <f>VLOOKUP(L89,照明器具一覧!$B$4:$F$155,5,FALSE)</f>
        <v>100</v>
      </c>
      <c r="N89" s="7">
        <v>1</v>
      </c>
      <c r="O89" s="82">
        <f t="shared" si="3"/>
        <v>494.4</v>
      </c>
    </row>
    <row r="90" spans="1:15">
      <c r="A90" s="7" t="s">
        <v>631</v>
      </c>
      <c r="B90" s="6" t="s">
        <v>532</v>
      </c>
      <c r="C90" s="74" t="s">
        <v>68</v>
      </c>
      <c r="D90" s="75" t="s">
        <v>43</v>
      </c>
      <c r="E90" s="7" t="s">
        <v>1052</v>
      </c>
      <c r="F90" s="76" t="s">
        <v>91</v>
      </c>
      <c r="G90" s="72" t="s">
        <v>39</v>
      </c>
      <c r="H90" s="34">
        <v>2</v>
      </c>
      <c r="I90" s="71" t="s">
        <v>384</v>
      </c>
      <c r="J90" s="32">
        <v>1</v>
      </c>
      <c r="K90" s="33">
        <f>VLOOKUP(E90,照明設備稼働時間!$A$4:$F$72,5,FALSE)</f>
        <v>1236</v>
      </c>
      <c r="L90" s="33" t="str">
        <f t="shared" si="2"/>
        <v>FL40SW ＋PIL100V40WS35E172埋込W220　非常照明付　電源別置</v>
      </c>
      <c r="M90" s="33">
        <f>VLOOKUP(L90,照明器具一覧!$B$4:$F$155,5,FALSE)</f>
        <v>94</v>
      </c>
      <c r="N90" s="7">
        <v>1</v>
      </c>
      <c r="O90" s="82">
        <f t="shared" si="3"/>
        <v>116.184</v>
      </c>
    </row>
    <row r="91" spans="1:15">
      <c r="A91" s="7" t="s">
        <v>632</v>
      </c>
      <c r="B91" s="6" t="s">
        <v>532</v>
      </c>
      <c r="C91" s="74" t="s">
        <v>386</v>
      </c>
      <c r="D91" s="75" t="s">
        <v>43</v>
      </c>
      <c r="E91" s="7" t="s">
        <v>1051</v>
      </c>
      <c r="F91" s="76" t="s">
        <v>92</v>
      </c>
      <c r="G91" s="72" t="s">
        <v>38</v>
      </c>
      <c r="H91" s="34">
        <v>2</v>
      </c>
      <c r="I91" s="71" t="s">
        <v>356</v>
      </c>
      <c r="J91" s="32">
        <v>3</v>
      </c>
      <c r="K91" s="33">
        <f>VLOOKUP(E91,照明設備稼働時間!$A$4:$F$72,5,FALSE)</f>
        <v>1236</v>
      </c>
      <c r="L91" s="33" t="str">
        <f t="shared" si="2"/>
        <v>FL40W2逆富士</v>
      </c>
      <c r="M91" s="33">
        <f>VLOOKUP(L91,照明器具一覧!$B$4:$F$155,5,FALSE)</f>
        <v>94</v>
      </c>
      <c r="N91" s="7">
        <v>1</v>
      </c>
      <c r="O91" s="82">
        <f t="shared" si="3"/>
        <v>348.55200000000002</v>
      </c>
    </row>
    <row r="92" spans="1:15">
      <c r="A92" s="7" t="s">
        <v>633</v>
      </c>
      <c r="B92" s="6" t="s">
        <v>532</v>
      </c>
      <c r="C92" s="74" t="s">
        <v>28</v>
      </c>
      <c r="D92" s="75" t="s">
        <v>43</v>
      </c>
      <c r="E92" s="7" t="s">
        <v>1051</v>
      </c>
      <c r="F92" s="76" t="s">
        <v>92</v>
      </c>
      <c r="G92" s="72" t="s">
        <v>38</v>
      </c>
      <c r="H92" s="34">
        <v>2</v>
      </c>
      <c r="I92" s="71" t="s">
        <v>387</v>
      </c>
      <c r="J92" s="32">
        <v>1</v>
      </c>
      <c r="K92" s="33">
        <f>VLOOKUP(E92,照明設備稼働時間!$A$4:$F$72,5,FALSE)</f>
        <v>1236</v>
      </c>
      <c r="L92" s="33" t="str">
        <f t="shared" si="2"/>
        <v>FL40W2逆富士　非常照明　電源別置</v>
      </c>
      <c r="M92" s="33">
        <f>VLOOKUP(L92,照明器具一覧!$B$4:$F$155,5,FALSE)</f>
        <v>94</v>
      </c>
      <c r="N92" s="7">
        <v>1</v>
      </c>
      <c r="O92" s="82">
        <f t="shared" si="3"/>
        <v>116.184</v>
      </c>
    </row>
    <row r="93" spans="1:15">
      <c r="A93" s="7" t="s">
        <v>634</v>
      </c>
      <c r="B93" s="6" t="s">
        <v>532</v>
      </c>
      <c r="C93" s="74" t="s">
        <v>70</v>
      </c>
      <c r="D93" s="75" t="s">
        <v>43</v>
      </c>
      <c r="E93" s="7" t="s">
        <v>1050</v>
      </c>
      <c r="F93" s="76" t="s">
        <v>93</v>
      </c>
      <c r="G93" s="72" t="s">
        <v>449</v>
      </c>
      <c r="H93" s="34">
        <v>4</v>
      </c>
      <c r="I93" s="71" t="s">
        <v>388</v>
      </c>
      <c r="J93" s="32">
        <v>6</v>
      </c>
      <c r="K93" s="33">
        <f>VLOOKUP(E93,照明設備稼働時間!$A$4:$F$72,5,FALSE)</f>
        <v>309</v>
      </c>
      <c r="L93" s="33" t="str">
        <f t="shared" si="2"/>
        <v>FPL55W4埋込　スクエア□600</v>
      </c>
      <c r="M93" s="33">
        <f>VLOOKUP(L93,照明器具一覧!$B$4:$F$155,5,FALSE)</f>
        <v>220</v>
      </c>
      <c r="N93" s="7">
        <v>1</v>
      </c>
      <c r="O93" s="82">
        <f t="shared" si="3"/>
        <v>407.88</v>
      </c>
    </row>
    <row r="94" spans="1:15">
      <c r="A94" s="7" t="s">
        <v>635</v>
      </c>
      <c r="B94" s="6" t="s">
        <v>532</v>
      </c>
      <c r="C94" s="74" t="s">
        <v>71</v>
      </c>
      <c r="D94" s="75" t="s">
        <v>43</v>
      </c>
      <c r="E94" s="7" t="s">
        <v>1050</v>
      </c>
      <c r="F94" s="76" t="s">
        <v>93</v>
      </c>
      <c r="G94" s="72" t="s">
        <v>340</v>
      </c>
      <c r="H94" s="34">
        <v>1</v>
      </c>
      <c r="I94" s="71" t="s">
        <v>389</v>
      </c>
      <c r="J94" s="32">
        <v>2</v>
      </c>
      <c r="K94" s="33">
        <f>VLOOKUP(E94,照明設備稼働時間!$A$4:$F$72,5,FALSE)</f>
        <v>309</v>
      </c>
      <c r="L94" s="33" t="str">
        <f t="shared" si="2"/>
        <v>FDL18W1ダウンライト　角形□150</v>
      </c>
      <c r="M94" s="33">
        <f>VLOOKUP(L94,照明器具一覧!$B$4:$F$155,5,FALSE)</f>
        <v>22</v>
      </c>
      <c r="N94" s="7">
        <v>1</v>
      </c>
      <c r="O94" s="82">
        <f t="shared" si="3"/>
        <v>13.596</v>
      </c>
    </row>
    <row r="95" spans="1:15">
      <c r="A95" s="7" t="s">
        <v>636</v>
      </c>
      <c r="B95" s="6" t="s">
        <v>532</v>
      </c>
      <c r="C95" s="74" t="s">
        <v>45</v>
      </c>
      <c r="D95" s="75" t="s">
        <v>43</v>
      </c>
      <c r="E95" s="7" t="s">
        <v>1050</v>
      </c>
      <c r="F95" s="76" t="s">
        <v>93</v>
      </c>
      <c r="G95" s="72" t="s">
        <v>340</v>
      </c>
      <c r="H95" s="34">
        <v>1</v>
      </c>
      <c r="I95" s="71" t="s">
        <v>367</v>
      </c>
      <c r="J95" s="32">
        <v>1</v>
      </c>
      <c r="K95" s="33">
        <f>VLOOKUP(E95,照明設備稼働時間!$A$4:$F$72,5,FALSE)</f>
        <v>309</v>
      </c>
      <c r="L95" s="33" t="str">
        <f t="shared" si="2"/>
        <v>FDL18W1ダウンライト　φ150</v>
      </c>
      <c r="M95" s="33">
        <f>VLOOKUP(L95,照明器具一覧!$B$4:$F$155,5,FALSE)</f>
        <v>22</v>
      </c>
      <c r="N95" s="7">
        <v>1</v>
      </c>
      <c r="O95" s="82">
        <f t="shared" si="3"/>
        <v>6.798</v>
      </c>
    </row>
    <row r="96" spans="1:15">
      <c r="A96" s="7" t="s">
        <v>637</v>
      </c>
      <c r="B96" s="6" t="s">
        <v>532</v>
      </c>
      <c r="C96" s="74" t="s">
        <v>46</v>
      </c>
      <c r="D96" s="75" t="s">
        <v>43</v>
      </c>
      <c r="E96" s="7" t="s">
        <v>1103</v>
      </c>
      <c r="F96" s="76" t="s">
        <v>94</v>
      </c>
      <c r="G96" s="72" t="s">
        <v>38</v>
      </c>
      <c r="H96" s="34">
        <v>2</v>
      </c>
      <c r="I96" s="71" t="s">
        <v>371</v>
      </c>
      <c r="J96" s="32">
        <v>7</v>
      </c>
      <c r="K96" s="33">
        <f>VLOOKUP(E96,照明設備稼働時間!$A$4:$F$72,5,FALSE)</f>
        <v>1236</v>
      </c>
      <c r="L96" s="33" t="str">
        <f t="shared" si="2"/>
        <v>FL40W2埋込W220</v>
      </c>
      <c r="M96" s="33">
        <f>VLOOKUP(L96,照明器具一覧!$B$4:$F$155,5,FALSE)</f>
        <v>94</v>
      </c>
      <c r="N96" s="7">
        <v>1</v>
      </c>
      <c r="O96" s="82">
        <f t="shared" si="3"/>
        <v>813.28800000000001</v>
      </c>
    </row>
    <row r="97" spans="1:15">
      <c r="A97" s="7" t="s">
        <v>638</v>
      </c>
      <c r="B97" s="6" t="s">
        <v>532</v>
      </c>
      <c r="C97" s="74" t="s">
        <v>68</v>
      </c>
      <c r="D97" s="75" t="s">
        <v>43</v>
      </c>
      <c r="E97" s="7" t="s">
        <v>1103</v>
      </c>
      <c r="F97" s="76" t="s">
        <v>94</v>
      </c>
      <c r="G97" s="72" t="s">
        <v>39</v>
      </c>
      <c r="H97" s="34">
        <v>2</v>
      </c>
      <c r="I97" s="71" t="s">
        <v>384</v>
      </c>
      <c r="J97" s="32">
        <v>3</v>
      </c>
      <c r="K97" s="33">
        <f>VLOOKUP(E97,照明設備稼働時間!$A$4:$F$72,5,FALSE)</f>
        <v>1236</v>
      </c>
      <c r="L97" s="33" t="str">
        <f t="shared" si="2"/>
        <v>FL40SW ＋PIL100V40WS35E172埋込W220　非常照明付　電源別置</v>
      </c>
      <c r="M97" s="33">
        <f>VLOOKUP(L97,照明器具一覧!$B$4:$F$155,5,FALSE)</f>
        <v>94</v>
      </c>
      <c r="N97" s="7">
        <v>1</v>
      </c>
      <c r="O97" s="82">
        <f t="shared" si="3"/>
        <v>348.55200000000002</v>
      </c>
    </row>
    <row r="98" spans="1:15">
      <c r="A98" s="7" t="s">
        <v>639</v>
      </c>
      <c r="B98" s="6" t="s">
        <v>532</v>
      </c>
      <c r="C98" s="74" t="s">
        <v>46</v>
      </c>
      <c r="D98" s="75" t="s">
        <v>43</v>
      </c>
      <c r="E98" s="7" t="s">
        <v>1109</v>
      </c>
      <c r="F98" s="76" t="s">
        <v>95</v>
      </c>
      <c r="G98" s="72" t="s">
        <v>38</v>
      </c>
      <c r="H98" s="34">
        <v>2</v>
      </c>
      <c r="I98" s="71" t="s">
        <v>371</v>
      </c>
      <c r="J98" s="32">
        <v>6</v>
      </c>
      <c r="K98" s="33">
        <f>VLOOKUP(E98,照明設備稼働時間!$A$4:$F$72,5,FALSE)</f>
        <v>927</v>
      </c>
      <c r="L98" s="33" t="str">
        <f t="shared" si="2"/>
        <v>FL40W2埋込W220</v>
      </c>
      <c r="M98" s="33">
        <f>VLOOKUP(L98,照明器具一覧!$B$4:$F$155,5,FALSE)</f>
        <v>94</v>
      </c>
      <c r="N98" s="7">
        <v>1</v>
      </c>
      <c r="O98" s="82">
        <f t="shared" si="3"/>
        <v>522.82799999999997</v>
      </c>
    </row>
    <row r="99" spans="1:15">
      <c r="A99" s="7" t="s">
        <v>640</v>
      </c>
      <c r="B99" s="6" t="s">
        <v>532</v>
      </c>
      <c r="C99" s="74" t="s">
        <v>68</v>
      </c>
      <c r="D99" s="75" t="s">
        <v>43</v>
      </c>
      <c r="E99" s="7" t="s">
        <v>1109</v>
      </c>
      <c r="F99" s="76" t="s">
        <v>95</v>
      </c>
      <c r="G99" s="72" t="s">
        <v>39</v>
      </c>
      <c r="H99" s="34">
        <v>2</v>
      </c>
      <c r="I99" s="71" t="s">
        <v>359</v>
      </c>
      <c r="J99" s="32">
        <v>2</v>
      </c>
      <c r="K99" s="33">
        <f>VLOOKUP(E99,照明設備稼働時間!$A$4:$F$72,5,FALSE)</f>
        <v>927</v>
      </c>
      <c r="L99" s="33" t="str">
        <f t="shared" si="2"/>
        <v>FL40SW ＋PIL100V40WS35E172埋込W300</v>
      </c>
      <c r="M99" s="33">
        <f>VLOOKUP(L99,照明器具一覧!$B$4:$F$155,5,FALSE)</f>
        <v>94</v>
      </c>
      <c r="N99" s="7">
        <v>1</v>
      </c>
      <c r="O99" s="82">
        <f t="shared" si="3"/>
        <v>174.27600000000001</v>
      </c>
    </row>
    <row r="100" spans="1:15">
      <c r="A100" s="7" t="s">
        <v>641</v>
      </c>
      <c r="B100" s="6" t="s">
        <v>532</v>
      </c>
      <c r="C100" s="74" t="s">
        <v>46</v>
      </c>
      <c r="D100" s="75" t="s">
        <v>43</v>
      </c>
      <c r="E100" s="7" t="s">
        <v>1054</v>
      </c>
      <c r="F100" s="76" t="s">
        <v>96</v>
      </c>
      <c r="G100" s="72" t="s">
        <v>38</v>
      </c>
      <c r="H100" s="34">
        <v>2</v>
      </c>
      <c r="I100" s="71" t="s">
        <v>359</v>
      </c>
      <c r="J100" s="32">
        <v>5</v>
      </c>
      <c r="K100" s="33">
        <f>VLOOKUP(E100,照明設備稼働時間!$A$4:$F$72,5,FALSE)</f>
        <v>3863</v>
      </c>
      <c r="L100" s="33" t="str">
        <f t="shared" si="2"/>
        <v>FL40W2埋込W300</v>
      </c>
      <c r="M100" s="33">
        <f>VLOOKUP(L100,照明器具一覧!$B$4:$F$155,5,FALSE)</f>
        <v>94</v>
      </c>
      <c r="N100" s="7">
        <v>1</v>
      </c>
      <c r="O100" s="82">
        <f t="shared" si="3"/>
        <v>1815.61</v>
      </c>
    </row>
    <row r="101" spans="1:15">
      <c r="A101" s="7" t="s">
        <v>642</v>
      </c>
      <c r="B101" s="6" t="s">
        <v>532</v>
      </c>
      <c r="C101" s="74" t="s">
        <v>68</v>
      </c>
      <c r="D101" s="75" t="s">
        <v>43</v>
      </c>
      <c r="E101" s="7" t="s">
        <v>1054</v>
      </c>
      <c r="F101" s="76" t="s">
        <v>96</v>
      </c>
      <c r="G101" s="72" t="s">
        <v>39</v>
      </c>
      <c r="H101" s="34">
        <v>2</v>
      </c>
      <c r="I101" s="71" t="s">
        <v>369</v>
      </c>
      <c r="J101" s="32">
        <v>1</v>
      </c>
      <c r="K101" s="33">
        <f>VLOOKUP(E101,照明設備稼働時間!$A$4:$F$72,5,FALSE)</f>
        <v>3863</v>
      </c>
      <c r="L101" s="33" t="str">
        <f t="shared" si="2"/>
        <v>FL40SW ＋PIL100V40WS35E172埋込W300　非常照明付　電源別置</v>
      </c>
      <c r="M101" s="33">
        <f>VLOOKUP(L101,照明器具一覧!$B$4:$F$155,5,FALSE)</f>
        <v>94</v>
      </c>
      <c r="N101" s="7">
        <v>1</v>
      </c>
      <c r="O101" s="82">
        <f t="shared" si="3"/>
        <v>363.12200000000001</v>
      </c>
    </row>
    <row r="102" spans="1:15">
      <c r="A102" s="7" t="s">
        <v>643</v>
      </c>
      <c r="B102" s="6" t="s">
        <v>532</v>
      </c>
      <c r="C102" s="74" t="s">
        <v>46</v>
      </c>
      <c r="D102" s="75" t="s">
        <v>43</v>
      </c>
      <c r="E102" s="7" t="s">
        <v>1054</v>
      </c>
      <c r="F102" s="76" t="s">
        <v>96</v>
      </c>
      <c r="G102" s="72" t="s">
        <v>38</v>
      </c>
      <c r="H102" s="34">
        <v>2</v>
      </c>
      <c r="I102" s="71" t="s">
        <v>359</v>
      </c>
      <c r="J102" s="32">
        <v>1</v>
      </c>
      <c r="K102" s="33">
        <f>VLOOKUP(E102,照明設備稼働時間!$A$4:$F$72,5,FALSE)</f>
        <v>3863</v>
      </c>
      <c r="L102" s="33" t="str">
        <f t="shared" si="2"/>
        <v>FL40W2埋込W300</v>
      </c>
      <c r="M102" s="33">
        <f>VLOOKUP(L102,照明器具一覧!$B$4:$F$155,5,FALSE)</f>
        <v>94</v>
      </c>
      <c r="N102" s="7">
        <v>1</v>
      </c>
      <c r="O102" s="82">
        <f t="shared" si="3"/>
        <v>363.12200000000001</v>
      </c>
    </row>
    <row r="103" spans="1:15">
      <c r="A103" s="7" t="s">
        <v>644</v>
      </c>
      <c r="B103" s="6" t="s">
        <v>532</v>
      </c>
      <c r="C103" s="74" t="s">
        <v>64</v>
      </c>
      <c r="D103" s="75" t="s">
        <v>43</v>
      </c>
      <c r="E103" s="7" t="s">
        <v>1054</v>
      </c>
      <c r="F103" s="76" t="s">
        <v>96</v>
      </c>
      <c r="G103" s="72" t="s">
        <v>390</v>
      </c>
      <c r="H103" s="34">
        <v>1</v>
      </c>
      <c r="I103" s="71" t="s">
        <v>374</v>
      </c>
      <c r="J103" s="32">
        <v>2</v>
      </c>
      <c r="K103" s="33">
        <f>VLOOKUP(E103,照明設備稼働時間!$A$4:$F$72,5,FALSE)</f>
        <v>3863</v>
      </c>
      <c r="L103" s="33" t="str">
        <f t="shared" si="2"/>
        <v>IL60W1ダウンライト　φ125</v>
      </c>
      <c r="M103" s="33">
        <f>VLOOKUP(L103,照明器具一覧!$B$4:$F$155,5,FALSE)</f>
        <v>60</v>
      </c>
      <c r="N103" s="7">
        <v>1</v>
      </c>
      <c r="O103" s="82">
        <f t="shared" si="3"/>
        <v>463.56</v>
      </c>
    </row>
    <row r="104" spans="1:15">
      <c r="A104" s="7" t="s">
        <v>645</v>
      </c>
      <c r="B104" s="6" t="s">
        <v>533</v>
      </c>
      <c r="C104" s="74" t="s">
        <v>51</v>
      </c>
      <c r="D104" s="75" t="s">
        <v>43</v>
      </c>
      <c r="E104" s="7" t="s">
        <v>511</v>
      </c>
      <c r="F104" s="76" t="s">
        <v>135</v>
      </c>
      <c r="G104" s="72" t="s">
        <v>307</v>
      </c>
      <c r="H104" s="34">
        <v>1</v>
      </c>
      <c r="I104" s="71" t="s">
        <v>309</v>
      </c>
      <c r="J104" s="32">
        <v>1</v>
      </c>
      <c r="K104" s="33">
        <f>VLOOKUP(E104,照明設備稼働時間!$A$4:$F$72,5,FALSE)</f>
        <v>618</v>
      </c>
      <c r="L104" s="33" t="str">
        <f t="shared" si="2"/>
        <v>LED1埋込 W300</v>
      </c>
      <c r="M104" s="33">
        <f>VLOOKUP(L104,照明器具一覧!$B$4:$F$155,5,FALSE)</f>
        <v>20</v>
      </c>
      <c r="N104" s="7">
        <v>1</v>
      </c>
      <c r="O104" s="82">
        <f t="shared" si="3"/>
        <v>12.36</v>
      </c>
    </row>
    <row r="105" spans="1:15">
      <c r="A105" s="7" t="s">
        <v>646</v>
      </c>
      <c r="B105" s="6" t="s">
        <v>532</v>
      </c>
      <c r="C105" s="74" t="s">
        <v>310</v>
      </c>
      <c r="D105" s="75" t="s">
        <v>12</v>
      </c>
      <c r="E105" s="7" t="s">
        <v>511</v>
      </c>
      <c r="F105" s="76" t="s">
        <v>97</v>
      </c>
      <c r="G105" s="72" t="s">
        <v>40</v>
      </c>
      <c r="H105" s="34">
        <v>1</v>
      </c>
      <c r="I105" s="71" t="s">
        <v>391</v>
      </c>
      <c r="J105" s="32">
        <v>1</v>
      </c>
      <c r="K105" s="33">
        <f>VLOOKUP(E105,照明設備稼働時間!$A$4:$F$72,5,FALSE)</f>
        <v>618</v>
      </c>
      <c r="L105" s="33" t="str">
        <f t="shared" si="2"/>
        <v>FL20W1棚下灯</v>
      </c>
      <c r="M105" s="33">
        <f>VLOOKUP(L105,照明器具一覧!$B$4:$F$155,5,FALSE)</f>
        <v>22</v>
      </c>
      <c r="N105" s="7">
        <v>1</v>
      </c>
      <c r="O105" s="82">
        <f t="shared" si="3"/>
        <v>13.596</v>
      </c>
    </row>
    <row r="106" spans="1:15">
      <c r="A106" s="7" t="s">
        <v>647</v>
      </c>
      <c r="B106" s="6" t="s">
        <v>532</v>
      </c>
      <c r="C106" s="74" t="s">
        <v>27</v>
      </c>
      <c r="D106" s="75" t="s">
        <v>43</v>
      </c>
      <c r="E106" s="7" t="s">
        <v>509</v>
      </c>
      <c r="F106" s="76" t="s">
        <v>98</v>
      </c>
      <c r="G106" s="72" t="s">
        <v>446</v>
      </c>
      <c r="H106" s="34">
        <v>2</v>
      </c>
      <c r="I106" s="71" t="s">
        <v>360</v>
      </c>
      <c r="J106" s="32">
        <v>1</v>
      </c>
      <c r="K106" s="33">
        <f>VLOOKUP(E106,照明設備稼働時間!$A$4:$F$72,5,FALSE)</f>
        <v>4172</v>
      </c>
      <c r="L106" s="33" t="str">
        <f t="shared" si="2"/>
        <v>FPL28W2埋込　スクエア□350</v>
      </c>
      <c r="M106" s="33">
        <f>VLOOKUP(L106,照明器具一覧!$B$4:$F$155,5,FALSE)</f>
        <v>31</v>
      </c>
      <c r="N106" s="7">
        <v>1</v>
      </c>
      <c r="O106" s="82">
        <f t="shared" si="3"/>
        <v>129.33199999999999</v>
      </c>
    </row>
    <row r="107" spans="1:15">
      <c r="A107" s="7" t="s">
        <v>648</v>
      </c>
      <c r="B107" s="6" t="s">
        <v>532</v>
      </c>
      <c r="C107" s="74" t="s">
        <v>72</v>
      </c>
      <c r="D107" s="75" t="s">
        <v>43</v>
      </c>
      <c r="E107" s="7" t="s">
        <v>509</v>
      </c>
      <c r="F107" s="76" t="s">
        <v>298</v>
      </c>
      <c r="G107" s="72" t="s">
        <v>450</v>
      </c>
      <c r="H107" s="34">
        <v>1</v>
      </c>
      <c r="I107" s="71" t="s">
        <v>392</v>
      </c>
      <c r="J107" s="32">
        <v>10</v>
      </c>
      <c r="K107" s="33">
        <f>VLOOKUP(E107,照明設備稼働時間!$A$4:$F$72,5,FALSE)</f>
        <v>4172</v>
      </c>
      <c r="L107" s="33" t="str">
        <f t="shared" si="2"/>
        <v>HF70W1ダウンライト　φ200</v>
      </c>
      <c r="M107" s="33">
        <f>VLOOKUP(L107,照明器具一覧!$B$4:$F$155,5,FALSE)</f>
        <v>77</v>
      </c>
      <c r="N107" s="7">
        <v>1</v>
      </c>
      <c r="O107" s="82">
        <f t="shared" si="3"/>
        <v>3212.44</v>
      </c>
    </row>
    <row r="108" spans="1:15">
      <c r="A108" s="7" t="s">
        <v>649</v>
      </c>
      <c r="B108" s="6" t="s">
        <v>532</v>
      </c>
      <c r="C108" s="74" t="s">
        <v>281</v>
      </c>
      <c r="D108" s="75" t="s">
        <v>43</v>
      </c>
      <c r="E108" s="7" t="s">
        <v>1049</v>
      </c>
      <c r="F108" s="76" t="s">
        <v>99</v>
      </c>
      <c r="G108" s="72" t="s">
        <v>446</v>
      </c>
      <c r="H108" s="34">
        <v>2</v>
      </c>
      <c r="I108" s="71" t="s">
        <v>360</v>
      </c>
      <c r="J108" s="32">
        <v>2</v>
      </c>
      <c r="K108" s="33">
        <f>VLOOKUP(E108,照明設備稼働時間!$A$4:$F$72,5,FALSE)</f>
        <v>309</v>
      </c>
      <c r="L108" s="33" t="str">
        <f t="shared" si="2"/>
        <v>FPL28W2埋込　スクエア□350</v>
      </c>
      <c r="M108" s="33">
        <f>VLOOKUP(L108,照明器具一覧!$B$4:$F$155,5,FALSE)</f>
        <v>31</v>
      </c>
      <c r="N108" s="7">
        <v>1</v>
      </c>
      <c r="O108" s="82">
        <f t="shared" si="3"/>
        <v>19.158000000000001</v>
      </c>
    </row>
    <row r="109" spans="1:15">
      <c r="A109" s="7" t="s">
        <v>650</v>
      </c>
      <c r="B109" s="6" t="s">
        <v>532</v>
      </c>
      <c r="C109" s="74" t="s">
        <v>46</v>
      </c>
      <c r="D109" s="75" t="s">
        <v>43</v>
      </c>
      <c r="E109" s="7" t="s">
        <v>1049</v>
      </c>
      <c r="F109" s="76" t="s">
        <v>99</v>
      </c>
      <c r="G109" s="72" t="s">
        <v>38</v>
      </c>
      <c r="H109" s="34">
        <v>2</v>
      </c>
      <c r="I109" s="71" t="s">
        <v>359</v>
      </c>
      <c r="J109" s="32">
        <v>3</v>
      </c>
      <c r="K109" s="33">
        <f>VLOOKUP(E109,照明設備稼働時間!$A$4:$F$72,5,FALSE)</f>
        <v>309</v>
      </c>
      <c r="L109" s="33" t="str">
        <f t="shared" si="2"/>
        <v>FL40W2埋込W300</v>
      </c>
      <c r="M109" s="33">
        <f>VLOOKUP(L109,照明器具一覧!$B$4:$F$155,5,FALSE)</f>
        <v>94</v>
      </c>
      <c r="N109" s="7">
        <v>1</v>
      </c>
      <c r="O109" s="82">
        <f t="shared" si="3"/>
        <v>87.138000000000005</v>
      </c>
    </row>
    <row r="110" spans="1:15">
      <c r="A110" s="7" t="s">
        <v>651</v>
      </c>
      <c r="B110" s="6" t="s">
        <v>532</v>
      </c>
      <c r="C110" s="74" t="s">
        <v>68</v>
      </c>
      <c r="D110" s="75" t="s">
        <v>43</v>
      </c>
      <c r="E110" s="7" t="s">
        <v>1049</v>
      </c>
      <c r="F110" s="76" t="s">
        <v>99</v>
      </c>
      <c r="G110" s="72" t="s">
        <v>39</v>
      </c>
      <c r="H110" s="34">
        <v>2</v>
      </c>
      <c r="I110" s="71" t="s">
        <v>369</v>
      </c>
      <c r="J110" s="32">
        <v>3</v>
      </c>
      <c r="K110" s="33">
        <f>VLOOKUP(E110,照明設備稼働時間!$A$4:$F$72,5,FALSE)</f>
        <v>309</v>
      </c>
      <c r="L110" s="33" t="str">
        <f t="shared" si="2"/>
        <v>FL40SW ＋PIL100V40WS35E172埋込W300　非常照明付　電源別置</v>
      </c>
      <c r="M110" s="33">
        <f>VLOOKUP(L110,照明器具一覧!$B$4:$F$155,5,FALSE)</f>
        <v>94</v>
      </c>
      <c r="N110" s="7">
        <v>1</v>
      </c>
      <c r="O110" s="82">
        <f t="shared" si="3"/>
        <v>87.138000000000005</v>
      </c>
    </row>
    <row r="111" spans="1:15">
      <c r="A111" s="7" t="s">
        <v>652</v>
      </c>
      <c r="B111" s="6" t="s">
        <v>532</v>
      </c>
      <c r="C111" s="74"/>
      <c r="D111" s="75" t="s">
        <v>43</v>
      </c>
      <c r="E111" s="7" t="s">
        <v>1049</v>
      </c>
      <c r="F111" s="76" t="s">
        <v>99</v>
      </c>
      <c r="G111" s="72" t="s">
        <v>38</v>
      </c>
      <c r="H111" s="34">
        <v>2</v>
      </c>
      <c r="I111" s="71" t="s">
        <v>372</v>
      </c>
      <c r="J111" s="32">
        <v>2</v>
      </c>
      <c r="K111" s="33">
        <f>VLOOKUP(E111,照明設備稼働時間!$A$4:$F$72,5,FALSE)</f>
        <v>309</v>
      </c>
      <c r="L111" s="33" t="str">
        <f t="shared" si="2"/>
        <v>FL40W2ブラケット</v>
      </c>
      <c r="M111" s="33">
        <f>VLOOKUP(L111,照明器具一覧!$B$4:$F$155,5,FALSE)</f>
        <v>94</v>
      </c>
      <c r="N111" s="7">
        <v>1</v>
      </c>
      <c r="O111" s="82">
        <f t="shared" si="3"/>
        <v>58.091999999999999</v>
      </c>
    </row>
    <row r="112" spans="1:15">
      <c r="A112" s="7" t="s">
        <v>653</v>
      </c>
      <c r="B112" s="6" t="s">
        <v>532</v>
      </c>
      <c r="C112" s="74" t="s">
        <v>46</v>
      </c>
      <c r="D112" s="75" t="s">
        <v>43</v>
      </c>
      <c r="E112" s="7" t="s">
        <v>1049</v>
      </c>
      <c r="F112" s="76" t="s">
        <v>99</v>
      </c>
      <c r="G112" s="72" t="s">
        <v>38</v>
      </c>
      <c r="H112" s="34">
        <v>2</v>
      </c>
      <c r="I112" s="71" t="s">
        <v>359</v>
      </c>
      <c r="J112" s="32">
        <v>1</v>
      </c>
      <c r="K112" s="33">
        <f>VLOOKUP(E112,照明設備稼働時間!$A$4:$F$72,5,FALSE)</f>
        <v>309</v>
      </c>
      <c r="L112" s="33" t="str">
        <f t="shared" si="2"/>
        <v>FL40W2埋込W300</v>
      </c>
      <c r="M112" s="33">
        <f>VLOOKUP(L112,照明器具一覧!$B$4:$F$155,5,FALSE)</f>
        <v>94</v>
      </c>
      <c r="N112" s="7">
        <v>1</v>
      </c>
      <c r="O112" s="82">
        <f t="shared" si="3"/>
        <v>29.045999999999999</v>
      </c>
    </row>
    <row r="113" spans="1:15">
      <c r="A113" s="7" t="s">
        <v>654</v>
      </c>
      <c r="B113" s="6" t="s">
        <v>532</v>
      </c>
      <c r="C113" s="74" t="s">
        <v>68</v>
      </c>
      <c r="D113" s="75" t="s">
        <v>43</v>
      </c>
      <c r="E113" s="7" t="s">
        <v>1049</v>
      </c>
      <c r="F113" s="76" t="s">
        <v>99</v>
      </c>
      <c r="G113" s="72" t="s">
        <v>39</v>
      </c>
      <c r="H113" s="34">
        <v>2</v>
      </c>
      <c r="I113" s="71" t="s">
        <v>369</v>
      </c>
      <c r="J113" s="32">
        <v>1</v>
      </c>
      <c r="K113" s="33">
        <f>VLOOKUP(E113,照明設備稼働時間!$A$4:$F$72,5,FALSE)</f>
        <v>309</v>
      </c>
      <c r="L113" s="33" t="str">
        <f t="shared" si="2"/>
        <v>FL40SW ＋PIL100V40WS35E172埋込W300　非常照明付　電源別置</v>
      </c>
      <c r="M113" s="33">
        <f>VLOOKUP(L113,照明器具一覧!$B$4:$F$155,5,FALSE)</f>
        <v>94</v>
      </c>
      <c r="N113" s="7">
        <v>1</v>
      </c>
      <c r="O113" s="82">
        <f t="shared" si="3"/>
        <v>29.045999999999999</v>
      </c>
    </row>
    <row r="114" spans="1:15">
      <c r="A114" s="7" t="s">
        <v>655</v>
      </c>
      <c r="B114" s="6" t="s">
        <v>532</v>
      </c>
      <c r="C114" s="74" t="s">
        <v>46</v>
      </c>
      <c r="D114" s="75" t="s">
        <v>43</v>
      </c>
      <c r="E114" s="7" t="s">
        <v>509</v>
      </c>
      <c r="F114" s="76" t="s">
        <v>100</v>
      </c>
      <c r="G114" s="72" t="s">
        <v>38</v>
      </c>
      <c r="H114" s="34">
        <v>2</v>
      </c>
      <c r="I114" s="71" t="s">
        <v>359</v>
      </c>
      <c r="J114" s="32">
        <v>1</v>
      </c>
      <c r="K114" s="33">
        <f>VLOOKUP(E114,照明設備稼働時間!$A$4:$F$72,5,FALSE)</f>
        <v>4172</v>
      </c>
      <c r="L114" s="33" t="str">
        <f t="shared" si="2"/>
        <v>FL40W2埋込W300</v>
      </c>
      <c r="M114" s="33">
        <f>VLOOKUP(L114,照明器具一覧!$B$4:$F$155,5,FALSE)</f>
        <v>94</v>
      </c>
      <c r="N114" s="7">
        <v>1</v>
      </c>
      <c r="O114" s="82">
        <f t="shared" si="3"/>
        <v>392.16800000000001</v>
      </c>
    </row>
    <row r="115" spans="1:15">
      <c r="A115" s="7" t="s">
        <v>656</v>
      </c>
      <c r="B115" s="6" t="s">
        <v>532</v>
      </c>
      <c r="C115" s="74" t="s">
        <v>68</v>
      </c>
      <c r="D115" s="75" t="s">
        <v>43</v>
      </c>
      <c r="E115" s="7" t="s">
        <v>509</v>
      </c>
      <c r="F115" s="76" t="s">
        <v>100</v>
      </c>
      <c r="G115" s="72" t="s">
        <v>39</v>
      </c>
      <c r="H115" s="34">
        <v>2</v>
      </c>
      <c r="I115" s="71" t="s">
        <v>369</v>
      </c>
      <c r="J115" s="32">
        <v>1</v>
      </c>
      <c r="K115" s="33">
        <f>VLOOKUP(E115,照明設備稼働時間!$A$4:$F$72,5,FALSE)</f>
        <v>4172</v>
      </c>
      <c r="L115" s="33" t="str">
        <f t="shared" si="2"/>
        <v>FL40SW ＋PIL100V40WS35E172埋込W300　非常照明付　電源別置</v>
      </c>
      <c r="M115" s="33">
        <f>VLOOKUP(L115,照明器具一覧!$B$4:$F$155,5,FALSE)</f>
        <v>94</v>
      </c>
      <c r="N115" s="7">
        <v>1</v>
      </c>
      <c r="O115" s="82">
        <f t="shared" si="3"/>
        <v>392.16800000000001</v>
      </c>
    </row>
    <row r="116" spans="1:15">
      <c r="A116" s="7" t="s">
        <v>657</v>
      </c>
      <c r="B116" s="6" t="s">
        <v>532</v>
      </c>
      <c r="C116" s="74" t="s">
        <v>51</v>
      </c>
      <c r="D116" s="75" t="s">
        <v>43</v>
      </c>
      <c r="E116" s="7" t="s">
        <v>1048</v>
      </c>
      <c r="F116" s="76" t="s">
        <v>101</v>
      </c>
      <c r="G116" s="72" t="s">
        <v>40</v>
      </c>
      <c r="H116" s="34">
        <v>2</v>
      </c>
      <c r="I116" s="71" t="s">
        <v>359</v>
      </c>
      <c r="J116" s="32">
        <v>1</v>
      </c>
      <c r="K116" s="33">
        <f>VLOOKUP(E116,照明設備稼働時間!$A$4:$F$72,5,FALSE)</f>
        <v>927</v>
      </c>
      <c r="L116" s="33" t="str">
        <f t="shared" si="2"/>
        <v>FL20W2埋込W300</v>
      </c>
      <c r="M116" s="33">
        <f>VLOOKUP(L116,照明器具一覧!$B$4:$F$155,5,FALSE)</f>
        <v>44</v>
      </c>
      <c r="N116" s="7">
        <v>1</v>
      </c>
      <c r="O116" s="82">
        <f t="shared" si="3"/>
        <v>40.787999999999997</v>
      </c>
    </row>
    <row r="117" spans="1:15">
      <c r="A117" s="7" t="s">
        <v>658</v>
      </c>
      <c r="B117" s="6" t="s">
        <v>532</v>
      </c>
      <c r="C117" s="74" t="s">
        <v>46</v>
      </c>
      <c r="D117" s="75" t="s">
        <v>43</v>
      </c>
      <c r="E117" s="7" t="s">
        <v>1048</v>
      </c>
      <c r="F117" s="76" t="s">
        <v>101</v>
      </c>
      <c r="G117" s="72" t="s">
        <v>38</v>
      </c>
      <c r="H117" s="34">
        <v>2</v>
      </c>
      <c r="I117" s="71" t="s">
        <v>359</v>
      </c>
      <c r="J117" s="32">
        <v>7</v>
      </c>
      <c r="K117" s="33">
        <f>VLOOKUP(E117,照明設備稼働時間!$A$4:$F$72,5,FALSE)</f>
        <v>927</v>
      </c>
      <c r="L117" s="33" t="str">
        <f t="shared" si="2"/>
        <v>FL40W2埋込W300</v>
      </c>
      <c r="M117" s="33">
        <f>VLOOKUP(L117,照明器具一覧!$B$4:$F$155,5,FALSE)</f>
        <v>94</v>
      </c>
      <c r="N117" s="7">
        <v>1</v>
      </c>
      <c r="O117" s="82">
        <f t="shared" si="3"/>
        <v>609.96600000000001</v>
      </c>
    </row>
    <row r="118" spans="1:15">
      <c r="A118" s="7" t="s">
        <v>659</v>
      </c>
      <c r="B118" s="6" t="s">
        <v>532</v>
      </c>
      <c r="C118" s="74" t="s">
        <v>68</v>
      </c>
      <c r="D118" s="75" t="s">
        <v>43</v>
      </c>
      <c r="E118" s="7" t="s">
        <v>1048</v>
      </c>
      <c r="F118" s="76" t="s">
        <v>101</v>
      </c>
      <c r="G118" s="72" t="s">
        <v>39</v>
      </c>
      <c r="H118" s="34">
        <v>2</v>
      </c>
      <c r="I118" s="71" t="s">
        <v>369</v>
      </c>
      <c r="J118" s="32">
        <v>3</v>
      </c>
      <c r="K118" s="33">
        <f>VLOOKUP(E118,照明設備稼働時間!$A$4:$F$72,5,FALSE)</f>
        <v>927</v>
      </c>
      <c r="L118" s="33" t="str">
        <f t="shared" si="2"/>
        <v>FL40SW ＋PIL100V40WS35E172埋込W300　非常照明付　電源別置</v>
      </c>
      <c r="M118" s="33">
        <f>VLOOKUP(L118,照明器具一覧!$B$4:$F$155,5,FALSE)</f>
        <v>94</v>
      </c>
      <c r="N118" s="7">
        <v>1</v>
      </c>
      <c r="O118" s="82">
        <f t="shared" si="3"/>
        <v>261.41399999999999</v>
      </c>
    </row>
    <row r="119" spans="1:15">
      <c r="A119" s="7" t="s">
        <v>660</v>
      </c>
      <c r="B119" s="6" t="s">
        <v>532</v>
      </c>
      <c r="C119" s="74" t="s">
        <v>73</v>
      </c>
      <c r="D119" s="75" t="s">
        <v>43</v>
      </c>
      <c r="E119" s="7" t="s">
        <v>513</v>
      </c>
      <c r="F119" s="76" t="s">
        <v>102</v>
      </c>
      <c r="G119" s="72" t="s">
        <v>38</v>
      </c>
      <c r="H119" s="34">
        <v>1</v>
      </c>
      <c r="I119" s="71" t="s">
        <v>356</v>
      </c>
      <c r="J119" s="32">
        <v>1</v>
      </c>
      <c r="K119" s="33">
        <f>VLOOKUP(E119,照明設備稼働時間!$A$4:$F$72,5,FALSE)</f>
        <v>309</v>
      </c>
      <c r="L119" s="33" t="str">
        <f t="shared" si="2"/>
        <v>FL40W1逆富士</v>
      </c>
      <c r="M119" s="33">
        <f>VLOOKUP(L119,照明器具一覧!$B$4:$F$155,5,FALSE)</f>
        <v>47</v>
      </c>
      <c r="N119" s="7">
        <v>1</v>
      </c>
      <c r="O119" s="82">
        <f t="shared" si="3"/>
        <v>14.523</v>
      </c>
    </row>
    <row r="120" spans="1:15">
      <c r="A120" s="7" t="s">
        <v>661</v>
      </c>
      <c r="B120" s="6" t="s">
        <v>532</v>
      </c>
      <c r="C120" s="74" t="s">
        <v>283</v>
      </c>
      <c r="D120" s="75" t="s">
        <v>43</v>
      </c>
      <c r="E120" s="7" t="s">
        <v>516</v>
      </c>
      <c r="F120" s="76" t="s">
        <v>269</v>
      </c>
      <c r="G120" s="72" t="s">
        <v>284</v>
      </c>
      <c r="H120" s="34">
        <v>1</v>
      </c>
      <c r="I120" s="71" t="s">
        <v>285</v>
      </c>
      <c r="J120" s="32">
        <v>1</v>
      </c>
      <c r="K120" s="33">
        <f>VLOOKUP(E120,照明設備稼働時間!$A$4:$F$72,5,FALSE)</f>
        <v>0</v>
      </c>
      <c r="L120" s="33" t="str">
        <f t="shared" si="2"/>
        <v>IL40W1直付白熱灯</v>
      </c>
      <c r="M120" s="33">
        <f>VLOOKUP(L120,照明器具一覧!$B$4:$F$155,5,FALSE)</f>
        <v>40</v>
      </c>
      <c r="N120" s="7">
        <v>1</v>
      </c>
      <c r="O120" s="82">
        <f t="shared" si="3"/>
        <v>0</v>
      </c>
    </row>
    <row r="121" spans="1:15">
      <c r="A121" s="7" t="s">
        <v>662</v>
      </c>
      <c r="B121" s="6" t="s">
        <v>532</v>
      </c>
      <c r="C121" s="74" t="s">
        <v>46</v>
      </c>
      <c r="D121" s="75" t="s">
        <v>43</v>
      </c>
      <c r="E121" s="7" t="s">
        <v>1047</v>
      </c>
      <c r="F121" s="76" t="s">
        <v>103</v>
      </c>
      <c r="G121" s="72" t="s">
        <v>38</v>
      </c>
      <c r="H121" s="34">
        <v>2</v>
      </c>
      <c r="I121" s="71" t="s">
        <v>359</v>
      </c>
      <c r="J121" s="32">
        <v>14</v>
      </c>
      <c r="K121" s="33">
        <f>VLOOKUP(E121,照明設備稼働時間!$A$4:$F$72,5,FALSE)</f>
        <v>1236</v>
      </c>
      <c r="L121" s="33" t="str">
        <f t="shared" si="2"/>
        <v>FL40W2埋込W300</v>
      </c>
      <c r="M121" s="33">
        <f>VLOOKUP(L121,照明器具一覧!$B$4:$F$155,5,FALSE)</f>
        <v>94</v>
      </c>
      <c r="N121" s="7">
        <v>1</v>
      </c>
      <c r="O121" s="82">
        <f t="shared" si="3"/>
        <v>1626.576</v>
      </c>
    </row>
    <row r="122" spans="1:15">
      <c r="A122" s="7" t="s">
        <v>663</v>
      </c>
      <c r="B122" s="6" t="s">
        <v>532</v>
      </c>
      <c r="C122" s="74" t="s">
        <v>68</v>
      </c>
      <c r="D122" s="75" t="s">
        <v>43</v>
      </c>
      <c r="E122" s="7" t="s">
        <v>1047</v>
      </c>
      <c r="F122" s="76" t="s">
        <v>103</v>
      </c>
      <c r="G122" s="72" t="s">
        <v>39</v>
      </c>
      <c r="H122" s="34">
        <v>2</v>
      </c>
      <c r="I122" s="71" t="s">
        <v>369</v>
      </c>
      <c r="J122" s="32">
        <v>4</v>
      </c>
      <c r="K122" s="33">
        <f>VLOOKUP(E122,照明設備稼働時間!$A$4:$F$72,5,FALSE)</f>
        <v>1236</v>
      </c>
      <c r="L122" s="33" t="str">
        <f t="shared" si="2"/>
        <v>FL40SW ＋PIL100V40WS35E172埋込W300　非常照明付　電源別置</v>
      </c>
      <c r="M122" s="33">
        <f>VLOOKUP(L122,照明器具一覧!$B$4:$F$155,5,FALSE)</f>
        <v>94</v>
      </c>
      <c r="N122" s="7">
        <v>1</v>
      </c>
      <c r="O122" s="82">
        <f t="shared" si="3"/>
        <v>464.73599999999999</v>
      </c>
    </row>
    <row r="123" spans="1:15">
      <c r="A123" s="7" t="s">
        <v>664</v>
      </c>
      <c r="B123" s="6" t="s">
        <v>532</v>
      </c>
      <c r="C123" s="74" t="s">
        <v>72</v>
      </c>
      <c r="D123" s="75" t="s">
        <v>43</v>
      </c>
      <c r="E123" s="7" t="s">
        <v>509</v>
      </c>
      <c r="F123" s="76" t="s">
        <v>299</v>
      </c>
      <c r="G123" s="72" t="s">
        <v>450</v>
      </c>
      <c r="H123" s="34">
        <v>1</v>
      </c>
      <c r="I123" s="71" t="s">
        <v>392</v>
      </c>
      <c r="J123" s="32">
        <v>5</v>
      </c>
      <c r="K123" s="33">
        <f>VLOOKUP(E123,照明設備稼働時間!$A$4:$F$72,5,FALSE)</f>
        <v>4172</v>
      </c>
      <c r="L123" s="33" t="str">
        <f t="shared" si="2"/>
        <v>HF70W1ダウンライト　φ200</v>
      </c>
      <c r="M123" s="33">
        <f>VLOOKUP(L123,照明器具一覧!$B$4:$F$155,5,FALSE)</f>
        <v>77</v>
      </c>
      <c r="N123" s="7">
        <v>1</v>
      </c>
      <c r="O123" s="82">
        <f t="shared" si="3"/>
        <v>1606.22</v>
      </c>
    </row>
    <row r="124" spans="1:15">
      <c r="A124" s="7" t="s">
        <v>665</v>
      </c>
      <c r="B124" s="6" t="s">
        <v>532</v>
      </c>
      <c r="C124" s="74" t="s">
        <v>312</v>
      </c>
      <c r="D124" s="75" t="s">
        <v>43</v>
      </c>
      <c r="E124" s="7" t="s">
        <v>9</v>
      </c>
      <c r="F124" s="76" t="s">
        <v>311</v>
      </c>
      <c r="G124" s="72" t="s">
        <v>38</v>
      </c>
      <c r="H124" s="34">
        <v>2</v>
      </c>
      <c r="I124" s="71" t="s">
        <v>320</v>
      </c>
      <c r="J124" s="32">
        <v>1</v>
      </c>
      <c r="K124" s="33">
        <f>VLOOKUP(E124,照明設備稼働時間!$A$4:$F$72,5,FALSE)</f>
        <v>8760</v>
      </c>
      <c r="L124" s="33" t="str">
        <f t="shared" si="2"/>
        <v>FL40W2避難口誘導灯</v>
      </c>
      <c r="M124" s="33">
        <f>VLOOKUP(L124,照明器具一覧!$B$4:$F$155,5,FALSE)</f>
        <v>94</v>
      </c>
      <c r="N124" s="7">
        <v>1</v>
      </c>
      <c r="O124" s="82">
        <f t="shared" si="3"/>
        <v>823.44</v>
      </c>
    </row>
    <row r="125" spans="1:15">
      <c r="A125" s="7" t="s">
        <v>666</v>
      </c>
      <c r="B125" s="6" t="s">
        <v>532</v>
      </c>
      <c r="C125" s="74" t="s">
        <v>247</v>
      </c>
      <c r="D125" s="75" t="s">
        <v>43</v>
      </c>
      <c r="E125" s="7" t="s">
        <v>9</v>
      </c>
      <c r="F125" s="76" t="s">
        <v>37</v>
      </c>
      <c r="G125" s="72" t="s">
        <v>38</v>
      </c>
      <c r="H125" s="34">
        <v>2</v>
      </c>
      <c r="I125" s="71" t="s">
        <v>336</v>
      </c>
      <c r="J125" s="32">
        <v>1</v>
      </c>
      <c r="K125" s="33">
        <f>VLOOKUP(E125,照明設備稼働時間!$A$4:$F$72,5,FALSE)</f>
        <v>8760</v>
      </c>
      <c r="L125" s="33" t="str">
        <f t="shared" si="2"/>
        <v>FL40W2避難口誘導灯(音声＋点滅)</v>
      </c>
      <c r="M125" s="33">
        <f>VLOOKUP(L125,照明器具一覧!$B$4:$F$155,5,FALSE)</f>
        <v>94</v>
      </c>
      <c r="N125" s="7">
        <v>1</v>
      </c>
      <c r="O125" s="82">
        <f t="shared" si="3"/>
        <v>823.44</v>
      </c>
    </row>
    <row r="126" spans="1:15">
      <c r="A126" s="7" t="s">
        <v>667</v>
      </c>
      <c r="B126" s="6" t="s">
        <v>533</v>
      </c>
      <c r="C126" s="74"/>
      <c r="D126" s="75" t="s">
        <v>43</v>
      </c>
      <c r="E126" s="7" t="s">
        <v>9</v>
      </c>
      <c r="F126" s="76" t="s">
        <v>313</v>
      </c>
      <c r="G126" s="72" t="s">
        <v>307</v>
      </c>
      <c r="H126" s="34">
        <v>1</v>
      </c>
      <c r="I126" s="71" t="s">
        <v>337</v>
      </c>
      <c r="J126" s="32">
        <v>1</v>
      </c>
      <c r="K126" s="33">
        <f>VLOOKUP(E126,照明設備稼働時間!$A$4:$F$72,5,FALSE)</f>
        <v>8760</v>
      </c>
      <c r="L126" s="33" t="str">
        <f t="shared" si="2"/>
        <v>LED1避難口誘導灯　FA40337</v>
      </c>
      <c r="M126" s="33">
        <f>VLOOKUP(L126,照明器具一覧!$B$4:$F$155,5,FALSE)</f>
        <v>4</v>
      </c>
      <c r="N126" s="7">
        <v>1</v>
      </c>
      <c r="O126" s="82">
        <f t="shared" si="3"/>
        <v>35.04</v>
      </c>
    </row>
    <row r="127" spans="1:15">
      <c r="A127" s="7" t="s">
        <v>668</v>
      </c>
      <c r="B127" s="6" t="s">
        <v>532</v>
      </c>
      <c r="C127" s="74" t="s">
        <v>247</v>
      </c>
      <c r="D127" s="75" t="s">
        <v>43</v>
      </c>
      <c r="E127" s="7" t="s">
        <v>9</v>
      </c>
      <c r="F127" s="76" t="s">
        <v>313</v>
      </c>
      <c r="G127" s="72" t="s">
        <v>38</v>
      </c>
      <c r="H127" s="34">
        <v>2</v>
      </c>
      <c r="I127" s="71" t="s">
        <v>336</v>
      </c>
      <c r="J127" s="32">
        <v>1</v>
      </c>
      <c r="K127" s="33">
        <f>VLOOKUP(E127,照明設備稼働時間!$A$4:$F$72,5,FALSE)</f>
        <v>8760</v>
      </c>
      <c r="L127" s="33" t="str">
        <f t="shared" si="2"/>
        <v>FL40W2避難口誘導灯(音声＋点滅)</v>
      </c>
      <c r="M127" s="33">
        <f>VLOOKUP(L127,照明器具一覧!$B$4:$F$155,5,FALSE)</f>
        <v>94</v>
      </c>
      <c r="N127" s="7">
        <v>1</v>
      </c>
      <c r="O127" s="82">
        <f t="shared" si="3"/>
        <v>823.44</v>
      </c>
    </row>
    <row r="128" spans="1:15">
      <c r="A128" s="7" t="s">
        <v>669</v>
      </c>
      <c r="B128" s="6" t="s">
        <v>532</v>
      </c>
      <c r="C128" s="74" t="s">
        <v>263</v>
      </c>
      <c r="D128" s="75" t="s">
        <v>43</v>
      </c>
      <c r="E128" s="7" t="s">
        <v>9</v>
      </c>
      <c r="F128" s="76" t="s">
        <v>85</v>
      </c>
      <c r="G128" s="72" t="s">
        <v>38</v>
      </c>
      <c r="H128" s="34">
        <v>2</v>
      </c>
      <c r="I128" s="71" t="s">
        <v>336</v>
      </c>
      <c r="J128" s="32">
        <v>1</v>
      </c>
      <c r="K128" s="33">
        <f>VLOOKUP(E128,照明設備稼働時間!$A$4:$F$72,5,FALSE)</f>
        <v>8760</v>
      </c>
      <c r="L128" s="33" t="str">
        <f t="shared" si="2"/>
        <v>FL40W2避難口誘導灯(音声＋点滅)</v>
      </c>
      <c r="M128" s="33">
        <f>VLOOKUP(L128,照明器具一覧!$B$4:$F$155,5,FALSE)</f>
        <v>94</v>
      </c>
      <c r="N128" s="7">
        <v>1</v>
      </c>
      <c r="O128" s="82">
        <f t="shared" si="3"/>
        <v>823.44</v>
      </c>
    </row>
    <row r="129" spans="1:15">
      <c r="A129" s="7" t="s">
        <v>670</v>
      </c>
      <c r="B129" s="6" t="s">
        <v>532</v>
      </c>
      <c r="C129" s="74" t="s">
        <v>263</v>
      </c>
      <c r="D129" s="75" t="s">
        <v>43</v>
      </c>
      <c r="E129" s="7" t="s">
        <v>9</v>
      </c>
      <c r="F129" s="76" t="s">
        <v>314</v>
      </c>
      <c r="G129" s="72" t="s">
        <v>38</v>
      </c>
      <c r="H129" s="34">
        <v>2</v>
      </c>
      <c r="I129" s="71" t="s">
        <v>336</v>
      </c>
      <c r="J129" s="32">
        <v>1</v>
      </c>
      <c r="K129" s="33">
        <f>VLOOKUP(E129,照明設備稼働時間!$A$4:$F$72,5,FALSE)</f>
        <v>8760</v>
      </c>
      <c r="L129" s="33" t="str">
        <f t="shared" si="2"/>
        <v>FL40W2避難口誘導灯(音声＋点滅)</v>
      </c>
      <c r="M129" s="33">
        <f>VLOOKUP(L129,照明器具一覧!$B$4:$F$155,5,FALSE)</f>
        <v>94</v>
      </c>
      <c r="N129" s="7">
        <v>1</v>
      </c>
      <c r="O129" s="82">
        <f t="shared" si="3"/>
        <v>823.44</v>
      </c>
    </row>
    <row r="130" spans="1:15">
      <c r="A130" s="7" t="s">
        <v>671</v>
      </c>
      <c r="B130" s="6" t="s">
        <v>532</v>
      </c>
      <c r="C130" s="74" t="s">
        <v>262</v>
      </c>
      <c r="D130" s="75" t="s">
        <v>43</v>
      </c>
      <c r="E130" s="7" t="s">
        <v>9</v>
      </c>
      <c r="F130" s="76" t="s">
        <v>83</v>
      </c>
      <c r="G130" s="72" t="s">
        <v>110</v>
      </c>
      <c r="H130" s="34">
        <v>1</v>
      </c>
      <c r="I130" s="71" t="s">
        <v>338</v>
      </c>
      <c r="J130" s="32">
        <v>1</v>
      </c>
      <c r="K130" s="33">
        <f>VLOOKUP(E130,照明設備稼働時間!$A$4:$F$72,5,FALSE)</f>
        <v>8760</v>
      </c>
      <c r="L130" s="33" t="str">
        <f t="shared" si="2"/>
        <v>FL10W1通路誘導灯</v>
      </c>
      <c r="M130" s="33">
        <f>VLOOKUP(L130,照明器具一覧!$B$4:$F$155,5,FALSE)</f>
        <v>12</v>
      </c>
      <c r="N130" s="7">
        <v>1</v>
      </c>
      <c r="O130" s="82">
        <f t="shared" si="3"/>
        <v>105.12</v>
      </c>
    </row>
    <row r="131" spans="1:15">
      <c r="A131" s="7" t="s">
        <v>672</v>
      </c>
      <c r="B131" s="6" t="s">
        <v>532</v>
      </c>
      <c r="C131" s="74" t="s">
        <v>243</v>
      </c>
      <c r="D131" s="75" t="s">
        <v>43</v>
      </c>
      <c r="E131" s="7" t="s">
        <v>9</v>
      </c>
      <c r="F131" s="76" t="s">
        <v>244</v>
      </c>
      <c r="G131" s="72" t="s">
        <v>315</v>
      </c>
      <c r="H131" s="34">
        <v>1</v>
      </c>
      <c r="I131" s="71" t="s">
        <v>322</v>
      </c>
      <c r="J131" s="32">
        <v>2</v>
      </c>
      <c r="K131" s="33">
        <f>VLOOKUP(E131,照明設備稼働時間!$A$4:$F$72,5,FALSE)</f>
        <v>8760</v>
      </c>
      <c r="L131" s="33" t="str">
        <f t="shared" si="2"/>
        <v>FL20W1通路誘導灯</v>
      </c>
      <c r="M131" s="33">
        <f>VLOOKUP(L131,照明器具一覧!$B$4:$F$155,5,FALSE)</f>
        <v>22</v>
      </c>
      <c r="N131" s="7">
        <v>1</v>
      </c>
      <c r="O131" s="82">
        <f t="shared" si="3"/>
        <v>385.44</v>
      </c>
    </row>
    <row r="132" spans="1:15">
      <c r="A132" s="7" t="s">
        <v>673</v>
      </c>
      <c r="B132" s="6" t="s">
        <v>532</v>
      </c>
      <c r="C132" s="74" t="s">
        <v>263</v>
      </c>
      <c r="D132" s="75" t="s">
        <v>43</v>
      </c>
      <c r="E132" s="7" t="s">
        <v>9</v>
      </c>
      <c r="F132" s="76" t="s">
        <v>36</v>
      </c>
      <c r="G132" s="72" t="s">
        <v>38</v>
      </c>
      <c r="H132" s="34">
        <v>2</v>
      </c>
      <c r="I132" s="71" t="s">
        <v>336</v>
      </c>
      <c r="J132" s="32">
        <v>1</v>
      </c>
      <c r="K132" s="33">
        <f>VLOOKUP(E132,照明設備稼働時間!$A$4:$F$72,5,FALSE)</f>
        <v>8760</v>
      </c>
      <c r="L132" s="33" t="str">
        <f t="shared" ref="L132:L195" si="4">G132&amp;H132&amp;I132</f>
        <v>FL40W2避難口誘導灯(音声＋点滅)</v>
      </c>
      <c r="M132" s="33">
        <f>VLOOKUP(L132,照明器具一覧!$B$4:$F$155,5,FALSE)</f>
        <v>94</v>
      </c>
      <c r="N132" s="7">
        <v>1</v>
      </c>
      <c r="O132" s="82">
        <f t="shared" ref="O132:O195" si="5">(J132*K132*M132*N132)/1000</f>
        <v>823.44</v>
      </c>
    </row>
    <row r="133" spans="1:15">
      <c r="A133" s="7" t="s">
        <v>674</v>
      </c>
      <c r="B133" s="6" t="s">
        <v>532</v>
      </c>
      <c r="C133" s="74" t="s">
        <v>317</v>
      </c>
      <c r="D133" s="75" t="s">
        <v>43</v>
      </c>
      <c r="E133" s="7" t="s">
        <v>9</v>
      </c>
      <c r="F133" s="76" t="s">
        <v>36</v>
      </c>
      <c r="G133" s="72" t="s">
        <v>109</v>
      </c>
      <c r="H133" s="34">
        <v>1</v>
      </c>
      <c r="I133" s="71" t="s">
        <v>339</v>
      </c>
      <c r="J133" s="32">
        <v>1</v>
      </c>
      <c r="K133" s="33">
        <f>VLOOKUP(E133,照明設備稼働時間!$A$4:$F$72,5,FALSE)</f>
        <v>8760</v>
      </c>
      <c r="L133" s="33" t="str">
        <f t="shared" si="4"/>
        <v>FL32W1避難口誘導灯</v>
      </c>
      <c r="M133" s="33">
        <f>VLOOKUP(L133,照明器具一覧!$B$4:$F$155,5,FALSE)</f>
        <v>32</v>
      </c>
      <c r="N133" s="7">
        <v>1</v>
      </c>
      <c r="O133" s="82">
        <f t="shared" si="5"/>
        <v>280.32</v>
      </c>
    </row>
    <row r="134" spans="1:15">
      <c r="A134" s="7" t="s">
        <v>675</v>
      </c>
      <c r="B134" s="6" t="s">
        <v>532</v>
      </c>
      <c r="C134" s="74" t="s">
        <v>42</v>
      </c>
      <c r="D134" s="75" t="s">
        <v>43</v>
      </c>
      <c r="E134" s="7" t="s">
        <v>515</v>
      </c>
      <c r="F134" s="76" t="s">
        <v>297</v>
      </c>
      <c r="G134" s="72" t="s">
        <v>284</v>
      </c>
      <c r="H134" s="34">
        <v>1</v>
      </c>
      <c r="I134" s="71" t="s">
        <v>287</v>
      </c>
      <c r="J134" s="32">
        <v>2</v>
      </c>
      <c r="K134" s="33">
        <f>VLOOKUP(E134,照明設備稼働時間!$A$4:$F$72,5,FALSE)</f>
        <v>0</v>
      </c>
      <c r="L134" s="33" t="str">
        <f t="shared" si="4"/>
        <v>IL40W1非常灯　電源別置　WP</v>
      </c>
      <c r="M134" s="33">
        <f>VLOOKUP(L134,照明器具一覧!$B$4:$F$155,5,FALSE)</f>
        <v>40</v>
      </c>
      <c r="N134" s="7">
        <v>1</v>
      </c>
      <c r="O134" s="82">
        <f t="shared" si="5"/>
        <v>0</v>
      </c>
    </row>
    <row r="135" spans="1:15">
      <c r="A135" s="7" t="s">
        <v>676</v>
      </c>
      <c r="B135" s="6" t="s">
        <v>532</v>
      </c>
      <c r="C135" s="74" t="s">
        <v>286</v>
      </c>
      <c r="D135" s="75" t="s">
        <v>43</v>
      </c>
      <c r="E135" s="7" t="s">
        <v>515</v>
      </c>
      <c r="F135" s="76" t="s">
        <v>74</v>
      </c>
      <c r="G135" s="72" t="s">
        <v>284</v>
      </c>
      <c r="H135" s="34">
        <v>1</v>
      </c>
      <c r="I135" s="71" t="s">
        <v>237</v>
      </c>
      <c r="J135" s="32">
        <v>1</v>
      </c>
      <c r="K135" s="33">
        <f>VLOOKUP(E135,照明設備稼働時間!$A$4:$F$72,5,FALSE)</f>
        <v>0</v>
      </c>
      <c r="L135" s="33" t="str">
        <f t="shared" si="4"/>
        <v>IL40W1非常灯　電源別置　φ100</v>
      </c>
      <c r="M135" s="33">
        <f>VLOOKUP(L135,照明器具一覧!$B$4:$F$155,5,FALSE)</f>
        <v>40</v>
      </c>
      <c r="N135" s="7">
        <v>1</v>
      </c>
      <c r="O135" s="82">
        <f t="shared" si="5"/>
        <v>0</v>
      </c>
    </row>
    <row r="136" spans="1:15">
      <c r="A136" s="7" t="s">
        <v>677</v>
      </c>
      <c r="B136" s="6" t="s">
        <v>532</v>
      </c>
      <c r="C136" s="74" t="s">
        <v>42</v>
      </c>
      <c r="D136" s="75" t="s">
        <v>43</v>
      </c>
      <c r="E136" s="7" t="s">
        <v>515</v>
      </c>
      <c r="F136" s="76" t="s">
        <v>301</v>
      </c>
      <c r="G136" s="72" t="s">
        <v>284</v>
      </c>
      <c r="H136" s="34">
        <v>1</v>
      </c>
      <c r="I136" s="71" t="s">
        <v>287</v>
      </c>
      <c r="J136" s="32">
        <v>2</v>
      </c>
      <c r="K136" s="33">
        <f>VLOOKUP(E136,照明設備稼働時間!$A$4:$F$72,5,FALSE)</f>
        <v>0</v>
      </c>
      <c r="L136" s="33" t="str">
        <f t="shared" si="4"/>
        <v>IL40W1非常灯　電源別置　WP</v>
      </c>
      <c r="M136" s="33">
        <f>VLOOKUP(L136,照明器具一覧!$B$4:$F$155,5,FALSE)</f>
        <v>40</v>
      </c>
      <c r="N136" s="7">
        <v>1</v>
      </c>
      <c r="O136" s="82">
        <f t="shared" si="5"/>
        <v>0</v>
      </c>
    </row>
    <row r="137" spans="1:15">
      <c r="A137" s="7" t="s">
        <v>678</v>
      </c>
      <c r="B137" s="6" t="s">
        <v>532</v>
      </c>
      <c r="C137" s="74" t="s">
        <v>26</v>
      </c>
      <c r="D137" s="75" t="s">
        <v>43</v>
      </c>
      <c r="E137" s="7" t="s">
        <v>515</v>
      </c>
      <c r="F137" s="76" t="s">
        <v>78</v>
      </c>
      <c r="G137" s="72" t="s">
        <v>284</v>
      </c>
      <c r="H137" s="34">
        <v>1</v>
      </c>
      <c r="I137" s="71" t="s">
        <v>237</v>
      </c>
      <c r="J137" s="32">
        <v>1</v>
      </c>
      <c r="K137" s="33">
        <f>VLOOKUP(E137,照明設備稼働時間!$A$4:$F$72,5,FALSE)</f>
        <v>0</v>
      </c>
      <c r="L137" s="33" t="str">
        <f t="shared" si="4"/>
        <v>IL40W1非常灯　電源別置　φ100</v>
      </c>
      <c r="M137" s="33">
        <f>VLOOKUP(L137,照明器具一覧!$B$4:$F$155,5,FALSE)</f>
        <v>40</v>
      </c>
      <c r="N137" s="7">
        <v>1</v>
      </c>
      <c r="O137" s="82">
        <f t="shared" si="5"/>
        <v>0</v>
      </c>
    </row>
    <row r="138" spans="1:15">
      <c r="A138" s="7" t="s">
        <v>679</v>
      </c>
      <c r="B138" s="6" t="s">
        <v>532</v>
      </c>
      <c r="C138" s="74" t="s">
        <v>52</v>
      </c>
      <c r="D138" s="75" t="s">
        <v>43</v>
      </c>
      <c r="E138" s="7" t="s">
        <v>509</v>
      </c>
      <c r="F138" s="76" t="s">
        <v>37</v>
      </c>
      <c r="G138" s="72" t="s">
        <v>105</v>
      </c>
      <c r="H138" s="34">
        <v>1</v>
      </c>
      <c r="I138" s="71" t="s">
        <v>250</v>
      </c>
      <c r="J138" s="32">
        <v>1</v>
      </c>
      <c r="K138" s="33">
        <f>VLOOKUP(E138,照明設備稼働時間!$A$4:$F$72,5,FALSE)</f>
        <v>4172</v>
      </c>
      <c r="L138" s="33" t="str">
        <f t="shared" si="4"/>
        <v>FLR40W1階段灯　非常灯兼用　電池内蔵</v>
      </c>
      <c r="M138" s="33">
        <f>VLOOKUP(L138,照明器具一覧!$B$4:$F$155,5,FALSE)</f>
        <v>44</v>
      </c>
      <c r="N138" s="7">
        <v>1</v>
      </c>
      <c r="O138" s="82">
        <f t="shared" si="5"/>
        <v>183.56800000000001</v>
      </c>
    </row>
    <row r="139" spans="1:15">
      <c r="A139" s="7" t="s">
        <v>680</v>
      </c>
      <c r="B139" s="6" t="s">
        <v>532</v>
      </c>
      <c r="C139" s="74" t="s">
        <v>42</v>
      </c>
      <c r="D139" s="75" t="s">
        <v>43</v>
      </c>
      <c r="E139" s="7" t="s">
        <v>515</v>
      </c>
      <c r="F139" s="76" t="s">
        <v>80</v>
      </c>
      <c r="G139" s="72" t="s">
        <v>284</v>
      </c>
      <c r="H139" s="34">
        <v>1</v>
      </c>
      <c r="I139" s="71" t="s">
        <v>287</v>
      </c>
      <c r="J139" s="32">
        <v>6</v>
      </c>
      <c r="K139" s="33">
        <f>VLOOKUP(E139,照明設備稼働時間!$A$4:$F$72,5,FALSE)</f>
        <v>0</v>
      </c>
      <c r="L139" s="33" t="str">
        <f t="shared" si="4"/>
        <v>IL40W1非常灯　電源別置　WP</v>
      </c>
      <c r="M139" s="33">
        <f>VLOOKUP(L139,照明器具一覧!$B$4:$F$155,5,FALSE)</f>
        <v>40</v>
      </c>
      <c r="N139" s="7">
        <v>1</v>
      </c>
      <c r="O139" s="82">
        <f t="shared" si="5"/>
        <v>0</v>
      </c>
    </row>
    <row r="140" spans="1:15">
      <c r="A140" s="7" t="s">
        <v>681</v>
      </c>
      <c r="B140" s="6" t="s">
        <v>532</v>
      </c>
      <c r="C140" s="74" t="s">
        <v>26</v>
      </c>
      <c r="D140" s="75" t="s">
        <v>43</v>
      </c>
      <c r="E140" s="7" t="s">
        <v>515</v>
      </c>
      <c r="F140" s="76" t="s">
        <v>81</v>
      </c>
      <c r="G140" s="72" t="s">
        <v>284</v>
      </c>
      <c r="H140" s="34">
        <v>1</v>
      </c>
      <c r="I140" s="71" t="s">
        <v>237</v>
      </c>
      <c r="J140" s="32">
        <v>1</v>
      </c>
      <c r="K140" s="33">
        <f>VLOOKUP(E140,照明設備稼働時間!$A$4:$F$72,5,FALSE)</f>
        <v>0</v>
      </c>
      <c r="L140" s="33" t="str">
        <f t="shared" si="4"/>
        <v>IL40W1非常灯　電源別置　φ100</v>
      </c>
      <c r="M140" s="33">
        <f>VLOOKUP(L140,照明器具一覧!$B$4:$F$155,5,FALSE)</f>
        <v>40</v>
      </c>
      <c r="N140" s="7">
        <v>1</v>
      </c>
      <c r="O140" s="82">
        <f t="shared" si="5"/>
        <v>0</v>
      </c>
    </row>
    <row r="141" spans="1:15">
      <c r="A141" s="7" t="s">
        <v>682</v>
      </c>
      <c r="B141" s="6" t="s">
        <v>532</v>
      </c>
      <c r="C141" s="74" t="s">
        <v>26</v>
      </c>
      <c r="D141" s="75" t="s">
        <v>43</v>
      </c>
      <c r="E141" s="7" t="s">
        <v>515</v>
      </c>
      <c r="F141" s="76" t="s">
        <v>36</v>
      </c>
      <c r="G141" s="72" t="s">
        <v>284</v>
      </c>
      <c r="H141" s="34">
        <v>1</v>
      </c>
      <c r="I141" s="71" t="s">
        <v>237</v>
      </c>
      <c r="J141" s="32">
        <v>6</v>
      </c>
      <c r="K141" s="33">
        <f>VLOOKUP(E141,照明設備稼働時間!$A$4:$F$72,5,FALSE)</f>
        <v>0</v>
      </c>
      <c r="L141" s="33" t="str">
        <f t="shared" si="4"/>
        <v>IL40W1非常灯　電源別置　φ100</v>
      </c>
      <c r="M141" s="33">
        <f>VLOOKUP(L141,照明器具一覧!$B$4:$F$155,5,FALSE)</f>
        <v>40</v>
      </c>
      <c r="N141" s="7">
        <v>1</v>
      </c>
      <c r="O141" s="82">
        <f t="shared" si="5"/>
        <v>0</v>
      </c>
    </row>
    <row r="142" spans="1:15">
      <c r="A142" s="7" t="s">
        <v>683</v>
      </c>
      <c r="B142" s="6" t="s">
        <v>532</v>
      </c>
      <c r="C142" s="74" t="s">
        <v>26</v>
      </c>
      <c r="D142" s="75" t="s">
        <v>43</v>
      </c>
      <c r="E142" s="7" t="s">
        <v>515</v>
      </c>
      <c r="F142" s="76" t="s">
        <v>82</v>
      </c>
      <c r="G142" s="72" t="s">
        <v>284</v>
      </c>
      <c r="H142" s="34">
        <v>1</v>
      </c>
      <c r="I142" s="71" t="s">
        <v>237</v>
      </c>
      <c r="J142" s="32">
        <v>1</v>
      </c>
      <c r="K142" s="33">
        <f>VLOOKUP(E142,照明設備稼働時間!$A$4:$F$72,5,FALSE)</f>
        <v>0</v>
      </c>
      <c r="L142" s="33" t="str">
        <f t="shared" si="4"/>
        <v>IL40W1非常灯　電源別置　φ100</v>
      </c>
      <c r="M142" s="33">
        <f>VLOOKUP(L142,照明器具一覧!$B$4:$F$155,5,FALSE)</f>
        <v>40</v>
      </c>
      <c r="N142" s="7">
        <v>1</v>
      </c>
      <c r="O142" s="82">
        <f t="shared" si="5"/>
        <v>0</v>
      </c>
    </row>
    <row r="143" spans="1:15">
      <c r="A143" s="7" t="s">
        <v>684</v>
      </c>
      <c r="B143" s="6" t="s">
        <v>532</v>
      </c>
      <c r="C143" s="74" t="s">
        <v>26</v>
      </c>
      <c r="D143" s="75" t="s">
        <v>43</v>
      </c>
      <c r="E143" s="7" t="s">
        <v>515</v>
      </c>
      <c r="F143" s="76" t="s">
        <v>300</v>
      </c>
      <c r="G143" s="72" t="s">
        <v>284</v>
      </c>
      <c r="H143" s="34">
        <v>1</v>
      </c>
      <c r="I143" s="71" t="s">
        <v>237</v>
      </c>
      <c r="J143" s="32">
        <v>2</v>
      </c>
      <c r="K143" s="33">
        <f>VLOOKUP(E143,照明設備稼働時間!$A$4:$F$72,5,FALSE)</f>
        <v>0</v>
      </c>
      <c r="L143" s="33" t="str">
        <f t="shared" si="4"/>
        <v>IL40W1非常灯　電源別置　φ100</v>
      </c>
      <c r="M143" s="33">
        <f>VLOOKUP(L143,照明器具一覧!$B$4:$F$155,5,FALSE)</f>
        <v>40</v>
      </c>
      <c r="N143" s="7">
        <v>1</v>
      </c>
      <c r="O143" s="82">
        <f t="shared" si="5"/>
        <v>0</v>
      </c>
    </row>
    <row r="144" spans="1:15">
      <c r="A144" s="7" t="s">
        <v>685</v>
      </c>
      <c r="B144" s="6" t="s">
        <v>532</v>
      </c>
      <c r="C144" s="74" t="s">
        <v>26</v>
      </c>
      <c r="D144" s="75" t="s">
        <v>43</v>
      </c>
      <c r="E144" s="7" t="s">
        <v>515</v>
      </c>
      <c r="F144" s="76" t="s">
        <v>84</v>
      </c>
      <c r="G144" s="72" t="s">
        <v>284</v>
      </c>
      <c r="H144" s="34">
        <v>1</v>
      </c>
      <c r="I144" s="71" t="s">
        <v>237</v>
      </c>
      <c r="J144" s="32">
        <v>5</v>
      </c>
      <c r="K144" s="33">
        <f>VLOOKUP(E144,照明設備稼働時間!$A$4:$F$72,5,FALSE)</f>
        <v>0</v>
      </c>
      <c r="L144" s="33" t="str">
        <f t="shared" si="4"/>
        <v>IL40W1非常灯　電源別置　φ100</v>
      </c>
      <c r="M144" s="33">
        <f>VLOOKUP(L144,照明器具一覧!$B$4:$F$155,5,FALSE)</f>
        <v>40</v>
      </c>
      <c r="N144" s="7">
        <v>1</v>
      </c>
      <c r="O144" s="82">
        <f t="shared" si="5"/>
        <v>0</v>
      </c>
    </row>
    <row r="145" spans="1:15">
      <c r="A145" s="7" t="s">
        <v>686</v>
      </c>
      <c r="B145" s="6" t="s">
        <v>532</v>
      </c>
      <c r="C145" s="74" t="s">
        <v>26</v>
      </c>
      <c r="D145" s="75" t="s">
        <v>43</v>
      </c>
      <c r="E145" s="7" t="s">
        <v>515</v>
      </c>
      <c r="F145" s="76" t="s">
        <v>85</v>
      </c>
      <c r="G145" s="72" t="s">
        <v>284</v>
      </c>
      <c r="H145" s="34">
        <v>1</v>
      </c>
      <c r="I145" s="71" t="s">
        <v>237</v>
      </c>
      <c r="J145" s="32">
        <v>1</v>
      </c>
      <c r="K145" s="33">
        <f>VLOOKUP(E145,照明設備稼働時間!$A$4:$F$72,5,FALSE)</f>
        <v>0</v>
      </c>
      <c r="L145" s="33" t="str">
        <f t="shared" si="4"/>
        <v>IL40W1非常灯　電源別置　φ100</v>
      </c>
      <c r="M145" s="33">
        <f>VLOOKUP(L145,照明器具一覧!$B$4:$F$155,5,FALSE)</f>
        <v>40</v>
      </c>
      <c r="N145" s="7">
        <v>1</v>
      </c>
      <c r="O145" s="82">
        <f t="shared" si="5"/>
        <v>0</v>
      </c>
    </row>
    <row r="146" spans="1:15">
      <c r="A146" s="7" t="s">
        <v>687</v>
      </c>
      <c r="B146" s="6" t="s">
        <v>532</v>
      </c>
      <c r="C146" s="74" t="s">
        <v>66</v>
      </c>
      <c r="D146" s="75" t="s">
        <v>43</v>
      </c>
      <c r="E146" s="7" t="s">
        <v>509</v>
      </c>
      <c r="F146" s="76" t="s">
        <v>85</v>
      </c>
      <c r="G146" s="72" t="s">
        <v>105</v>
      </c>
      <c r="H146" s="34">
        <v>1</v>
      </c>
      <c r="I146" s="71" t="s">
        <v>250</v>
      </c>
      <c r="J146" s="32">
        <v>1</v>
      </c>
      <c r="K146" s="33">
        <f>VLOOKUP(E146,照明設備稼働時間!$A$4:$F$72,5,FALSE)</f>
        <v>4172</v>
      </c>
      <c r="L146" s="33" t="str">
        <f t="shared" si="4"/>
        <v>FLR40W1階段灯　非常灯兼用　電池内蔵</v>
      </c>
      <c r="M146" s="33">
        <f>VLOOKUP(L146,照明器具一覧!$B$4:$F$155,5,FALSE)</f>
        <v>44</v>
      </c>
      <c r="N146" s="7">
        <v>1</v>
      </c>
      <c r="O146" s="82">
        <f t="shared" si="5"/>
        <v>183.56800000000001</v>
      </c>
    </row>
    <row r="147" spans="1:15">
      <c r="A147" s="7" t="s">
        <v>688</v>
      </c>
      <c r="B147" s="6" t="s">
        <v>532</v>
      </c>
      <c r="C147" s="74" t="s">
        <v>42</v>
      </c>
      <c r="D147" s="75" t="s">
        <v>43</v>
      </c>
      <c r="E147" s="7" t="s">
        <v>515</v>
      </c>
      <c r="F147" s="76" t="s">
        <v>86</v>
      </c>
      <c r="G147" s="72" t="s">
        <v>284</v>
      </c>
      <c r="H147" s="34">
        <v>1</v>
      </c>
      <c r="I147" s="71" t="s">
        <v>287</v>
      </c>
      <c r="J147" s="32">
        <v>2</v>
      </c>
      <c r="K147" s="33">
        <f>VLOOKUP(E147,照明設備稼働時間!$A$4:$F$72,5,FALSE)</f>
        <v>0</v>
      </c>
      <c r="L147" s="33" t="str">
        <f t="shared" si="4"/>
        <v>IL40W1非常灯　電源別置　WP</v>
      </c>
      <c r="M147" s="33">
        <f>VLOOKUP(L147,照明器具一覧!$B$4:$F$155,5,FALSE)</f>
        <v>40</v>
      </c>
      <c r="N147" s="7">
        <v>1</v>
      </c>
      <c r="O147" s="82">
        <f t="shared" si="5"/>
        <v>0</v>
      </c>
    </row>
    <row r="148" spans="1:15">
      <c r="A148" s="7" t="s">
        <v>689</v>
      </c>
      <c r="B148" s="6" t="s">
        <v>532</v>
      </c>
      <c r="C148" s="74" t="s">
        <v>26</v>
      </c>
      <c r="D148" s="75" t="s">
        <v>43</v>
      </c>
      <c r="E148" s="7" t="s">
        <v>515</v>
      </c>
      <c r="F148" s="76" t="s">
        <v>77</v>
      </c>
      <c r="G148" s="72" t="s">
        <v>284</v>
      </c>
      <c r="H148" s="34">
        <v>1</v>
      </c>
      <c r="I148" s="71" t="s">
        <v>237</v>
      </c>
      <c r="J148" s="32">
        <v>1</v>
      </c>
      <c r="K148" s="33">
        <f>VLOOKUP(E148,照明設備稼働時間!$A$4:$F$72,5,FALSE)</f>
        <v>0</v>
      </c>
      <c r="L148" s="33" t="str">
        <f t="shared" si="4"/>
        <v>IL40W1非常灯　電源別置　φ100</v>
      </c>
      <c r="M148" s="33">
        <f>VLOOKUP(L148,照明器具一覧!$B$4:$F$155,5,FALSE)</f>
        <v>40</v>
      </c>
      <c r="N148" s="7">
        <v>1</v>
      </c>
      <c r="O148" s="82">
        <f t="shared" si="5"/>
        <v>0</v>
      </c>
    </row>
    <row r="149" spans="1:15">
      <c r="A149" s="7" t="s">
        <v>690</v>
      </c>
      <c r="B149" s="6" t="s">
        <v>532</v>
      </c>
      <c r="C149" s="74" t="s">
        <v>26</v>
      </c>
      <c r="D149" s="75" t="s">
        <v>43</v>
      </c>
      <c r="E149" s="7" t="s">
        <v>515</v>
      </c>
      <c r="F149" s="76" t="s">
        <v>87</v>
      </c>
      <c r="G149" s="72" t="s">
        <v>284</v>
      </c>
      <c r="H149" s="34">
        <v>1</v>
      </c>
      <c r="I149" s="71" t="s">
        <v>237</v>
      </c>
      <c r="J149" s="32">
        <v>1</v>
      </c>
      <c r="K149" s="33">
        <f>VLOOKUP(E149,照明設備稼働時間!$A$4:$F$72,5,FALSE)</f>
        <v>0</v>
      </c>
      <c r="L149" s="33" t="str">
        <f t="shared" si="4"/>
        <v>IL40W1非常灯　電源別置　φ100</v>
      </c>
      <c r="M149" s="33">
        <f>VLOOKUP(L149,照明器具一覧!$B$4:$F$155,5,FALSE)</f>
        <v>40</v>
      </c>
      <c r="N149" s="7">
        <v>1</v>
      </c>
      <c r="O149" s="82">
        <f t="shared" si="5"/>
        <v>0</v>
      </c>
    </row>
    <row r="150" spans="1:15">
      <c r="A150" s="7" t="s">
        <v>691</v>
      </c>
      <c r="B150" s="6" t="s">
        <v>532</v>
      </c>
      <c r="C150" s="74" t="s">
        <v>26</v>
      </c>
      <c r="D150" s="75" t="s">
        <v>43</v>
      </c>
      <c r="E150" s="7" t="s">
        <v>515</v>
      </c>
      <c r="F150" s="76" t="s">
        <v>77</v>
      </c>
      <c r="G150" s="72" t="s">
        <v>284</v>
      </c>
      <c r="H150" s="34">
        <v>1</v>
      </c>
      <c r="I150" s="71" t="s">
        <v>237</v>
      </c>
      <c r="J150" s="32">
        <v>1</v>
      </c>
      <c r="K150" s="33">
        <f>VLOOKUP(E150,照明設備稼働時間!$A$4:$F$72,5,FALSE)</f>
        <v>0</v>
      </c>
      <c r="L150" s="33" t="str">
        <f t="shared" si="4"/>
        <v>IL40W1非常灯　電源別置　φ100</v>
      </c>
      <c r="M150" s="33">
        <f>VLOOKUP(L150,照明器具一覧!$B$4:$F$155,5,FALSE)</f>
        <v>40</v>
      </c>
      <c r="N150" s="7">
        <v>1</v>
      </c>
      <c r="O150" s="82">
        <f t="shared" si="5"/>
        <v>0</v>
      </c>
    </row>
    <row r="151" spans="1:15">
      <c r="A151" s="7" t="s">
        <v>692</v>
      </c>
      <c r="B151" s="6" t="s">
        <v>532</v>
      </c>
      <c r="C151" s="74" t="s">
        <v>26</v>
      </c>
      <c r="D151" s="75" t="s">
        <v>43</v>
      </c>
      <c r="E151" s="7" t="s">
        <v>515</v>
      </c>
      <c r="F151" s="76" t="s">
        <v>88</v>
      </c>
      <c r="G151" s="72" t="s">
        <v>284</v>
      </c>
      <c r="H151" s="34">
        <v>1</v>
      </c>
      <c r="I151" s="71" t="s">
        <v>237</v>
      </c>
      <c r="J151" s="32">
        <v>1</v>
      </c>
      <c r="K151" s="33">
        <f>VLOOKUP(E151,照明設備稼働時間!$A$4:$F$72,5,FALSE)</f>
        <v>0</v>
      </c>
      <c r="L151" s="33" t="str">
        <f t="shared" si="4"/>
        <v>IL40W1非常灯　電源別置　φ100</v>
      </c>
      <c r="M151" s="33">
        <f>VLOOKUP(L151,照明器具一覧!$B$4:$F$155,5,FALSE)</f>
        <v>40</v>
      </c>
      <c r="N151" s="7">
        <v>1</v>
      </c>
      <c r="O151" s="82">
        <f t="shared" si="5"/>
        <v>0</v>
      </c>
    </row>
    <row r="152" spans="1:15">
      <c r="A152" s="7" t="s">
        <v>693</v>
      </c>
      <c r="B152" s="6" t="s">
        <v>532</v>
      </c>
      <c r="C152" s="74" t="s">
        <v>26</v>
      </c>
      <c r="D152" s="75" t="s">
        <v>43</v>
      </c>
      <c r="E152" s="7" t="s">
        <v>515</v>
      </c>
      <c r="F152" s="76" t="s">
        <v>90</v>
      </c>
      <c r="G152" s="72" t="s">
        <v>284</v>
      </c>
      <c r="H152" s="34">
        <v>1</v>
      </c>
      <c r="I152" s="71" t="s">
        <v>237</v>
      </c>
      <c r="J152" s="32">
        <v>1</v>
      </c>
      <c r="K152" s="33">
        <f>VLOOKUP(E152,照明設備稼働時間!$A$4:$F$72,5,FALSE)</f>
        <v>0</v>
      </c>
      <c r="L152" s="33" t="str">
        <f t="shared" si="4"/>
        <v>IL40W1非常灯　電源別置　φ100</v>
      </c>
      <c r="M152" s="33">
        <f>VLOOKUP(L152,照明器具一覧!$B$4:$F$155,5,FALSE)</f>
        <v>40</v>
      </c>
      <c r="N152" s="7">
        <v>1</v>
      </c>
      <c r="O152" s="82">
        <f t="shared" si="5"/>
        <v>0</v>
      </c>
    </row>
    <row r="153" spans="1:15">
      <c r="A153" s="7" t="s">
        <v>694</v>
      </c>
      <c r="B153" s="6" t="s">
        <v>532</v>
      </c>
      <c r="C153" s="74" t="s">
        <v>26</v>
      </c>
      <c r="D153" s="75" t="s">
        <v>43</v>
      </c>
      <c r="E153" s="7" t="s">
        <v>515</v>
      </c>
      <c r="F153" s="76" t="s">
        <v>93</v>
      </c>
      <c r="G153" s="72" t="s">
        <v>284</v>
      </c>
      <c r="H153" s="34">
        <v>1</v>
      </c>
      <c r="I153" s="71" t="s">
        <v>237</v>
      </c>
      <c r="J153" s="32">
        <v>2</v>
      </c>
      <c r="K153" s="33">
        <f>VLOOKUP(E153,照明設備稼働時間!$A$4:$F$72,5,FALSE)</f>
        <v>0</v>
      </c>
      <c r="L153" s="33" t="str">
        <f t="shared" si="4"/>
        <v>IL40W1非常灯　電源別置　φ100</v>
      </c>
      <c r="M153" s="33">
        <f>VLOOKUP(L153,照明器具一覧!$B$4:$F$155,5,FALSE)</f>
        <v>40</v>
      </c>
      <c r="N153" s="7">
        <v>1</v>
      </c>
      <c r="O153" s="82">
        <f t="shared" si="5"/>
        <v>0</v>
      </c>
    </row>
    <row r="154" spans="1:15">
      <c r="A154" s="7" t="s">
        <v>695</v>
      </c>
      <c r="B154" s="6" t="s">
        <v>532</v>
      </c>
      <c r="C154" s="74" t="s">
        <v>26</v>
      </c>
      <c r="D154" s="75" t="s">
        <v>43</v>
      </c>
      <c r="E154" s="7" t="s">
        <v>515</v>
      </c>
      <c r="F154" s="76" t="s">
        <v>93</v>
      </c>
      <c r="G154" s="72" t="s">
        <v>284</v>
      </c>
      <c r="H154" s="34">
        <v>1</v>
      </c>
      <c r="I154" s="71" t="s">
        <v>237</v>
      </c>
      <c r="J154" s="32">
        <v>1</v>
      </c>
      <c r="K154" s="33">
        <f>VLOOKUP(E154,照明設備稼働時間!$A$4:$F$72,5,FALSE)</f>
        <v>0</v>
      </c>
      <c r="L154" s="33" t="str">
        <f t="shared" si="4"/>
        <v>IL40W1非常灯　電源別置　φ100</v>
      </c>
      <c r="M154" s="33">
        <f>VLOOKUP(L154,照明器具一覧!$B$4:$F$155,5,FALSE)</f>
        <v>40</v>
      </c>
      <c r="N154" s="7">
        <v>1</v>
      </c>
      <c r="O154" s="82">
        <f t="shared" si="5"/>
        <v>0</v>
      </c>
    </row>
    <row r="155" spans="1:15">
      <c r="A155" s="7" t="s">
        <v>696</v>
      </c>
      <c r="B155" s="6" t="s">
        <v>532</v>
      </c>
      <c r="C155" s="74" t="s">
        <v>26</v>
      </c>
      <c r="D155" s="75" t="s">
        <v>43</v>
      </c>
      <c r="E155" s="7" t="s">
        <v>515</v>
      </c>
      <c r="F155" s="76" t="s">
        <v>96</v>
      </c>
      <c r="G155" s="72" t="s">
        <v>284</v>
      </c>
      <c r="H155" s="34">
        <v>1</v>
      </c>
      <c r="I155" s="71" t="s">
        <v>237</v>
      </c>
      <c r="J155" s="32">
        <v>2</v>
      </c>
      <c r="K155" s="33">
        <f>VLOOKUP(E155,照明設備稼働時間!$A$4:$F$72,5,FALSE)</f>
        <v>0</v>
      </c>
      <c r="L155" s="33" t="str">
        <f t="shared" si="4"/>
        <v>IL40W1非常灯　電源別置　φ100</v>
      </c>
      <c r="M155" s="33">
        <f>VLOOKUP(L155,照明器具一覧!$B$4:$F$155,5,FALSE)</f>
        <v>40</v>
      </c>
      <c r="N155" s="7">
        <v>1</v>
      </c>
      <c r="O155" s="82">
        <f t="shared" si="5"/>
        <v>0</v>
      </c>
    </row>
    <row r="156" spans="1:15">
      <c r="A156" s="7" t="s">
        <v>697</v>
      </c>
      <c r="B156" s="6" t="s">
        <v>532</v>
      </c>
      <c r="C156" s="74" t="s">
        <v>26</v>
      </c>
      <c r="D156" s="75" t="s">
        <v>43</v>
      </c>
      <c r="E156" s="7" t="s">
        <v>515</v>
      </c>
      <c r="F156" s="76" t="s">
        <v>98</v>
      </c>
      <c r="G156" s="72" t="s">
        <v>284</v>
      </c>
      <c r="H156" s="34">
        <v>1</v>
      </c>
      <c r="I156" s="71" t="s">
        <v>237</v>
      </c>
      <c r="J156" s="32">
        <v>1</v>
      </c>
      <c r="K156" s="33">
        <f>VLOOKUP(E156,照明設備稼働時間!$A$4:$F$72,5,FALSE)</f>
        <v>0</v>
      </c>
      <c r="L156" s="33" t="str">
        <f t="shared" si="4"/>
        <v>IL40W1非常灯　電源別置　φ100</v>
      </c>
      <c r="M156" s="33">
        <f>VLOOKUP(L156,照明器具一覧!$B$4:$F$155,5,FALSE)</f>
        <v>40</v>
      </c>
      <c r="N156" s="7">
        <v>1</v>
      </c>
      <c r="O156" s="82">
        <f t="shared" si="5"/>
        <v>0</v>
      </c>
    </row>
    <row r="157" spans="1:15">
      <c r="A157" s="7" t="s">
        <v>698</v>
      </c>
      <c r="B157" s="6" t="s">
        <v>532</v>
      </c>
      <c r="C157" s="74" t="s">
        <v>26</v>
      </c>
      <c r="D157" s="75" t="s">
        <v>43</v>
      </c>
      <c r="E157" s="7" t="s">
        <v>515</v>
      </c>
      <c r="F157" s="76" t="s">
        <v>298</v>
      </c>
      <c r="G157" s="72" t="s">
        <v>284</v>
      </c>
      <c r="H157" s="34">
        <v>1</v>
      </c>
      <c r="I157" s="71" t="s">
        <v>237</v>
      </c>
      <c r="J157" s="32">
        <v>2</v>
      </c>
      <c r="K157" s="33">
        <f>VLOOKUP(E157,照明設備稼働時間!$A$4:$F$72,5,FALSE)</f>
        <v>0</v>
      </c>
      <c r="L157" s="33" t="str">
        <f t="shared" si="4"/>
        <v>IL40W1非常灯　電源別置　φ100</v>
      </c>
      <c r="M157" s="33">
        <f>VLOOKUP(L157,照明器具一覧!$B$4:$F$155,5,FALSE)</f>
        <v>40</v>
      </c>
      <c r="N157" s="7">
        <v>1</v>
      </c>
      <c r="O157" s="82">
        <f t="shared" si="5"/>
        <v>0</v>
      </c>
    </row>
    <row r="158" spans="1:15">
      <c r="A158" s="7" t="s">
        <v>699</v>
      </c>
      <c r="B158" s="6" t="s">
        <v>532</v>
      </c>
      <c r="C158" s="74" t="s">
        <v>42</v>
      </c>
      <c r="D158" s="75" t="s">
        <v>43</v>
      </c>
      <c r="E158" s="7" t="s">
        <v>515</v>
      </c>
      <c r="F158" s="76" t="s">
        <v>99</v>
      </c>
      <c r="G158" s="72" t="s">
        <v>284</v>
      </c>
      <c r="H158" s="34">
        <v>1</v>
      </c>
      <c r="I158" s="71" t="s">
        <v>287</v>
      </c>
      <c r="J158" s="32">
        <v>1</v>
      </c>
      <c r="K158" s="33">
        <f>VLOOKUP(E158,照明設備稼働時間!$A$4:$F$72,5,FALSE)</f>
        <v>0</v>
      </c>
      <c r="L158" s="33" t="str">
        <f t="shared" si="4"/>
        <v>IL40W1非常灯　電源別置　WP</v>
      </c>
      <c r="M158" s="33">
        <f>VLOOKUP(L158,照明器具一覧!$B$4:$F$155,5,FALSE)</f>
        <v>40</v>
      </c>
      <c r="N158" s="7">
        <v>1</v>
      </c>
      <c r="O158" s="82">
        <f t="shared" si="5"/>
        <v>0</v>
      </c>
    </row>
    <row r="159" spans="1:15">
      <c r="A159" s="7" t="s">
        <v>700</v>
      </c>
      <c r="B159" s="6" t="s">
        <v>532</v>
      </c>
      <c r="C159" s="74" t="s">
        <v>26</v>
      </c>
      <c r="D159" s="75" t="s">
        <v>43</v>
      </c>
      <c r="E159" s="7" t="s">
        <v>515</v>
      </c>
      <c r="F159" s="76" t="s">
        <v>99</v>
      </c>
      <c r="G159" s="72" t="s">
        <v>284</v>
      </c>
      <c r="H159" s="34">
        <v>1</v>
      </c>
      <c r="I159" s="71" t="s">
        <v>237</v>
      </c>
      <c r="J159" s="32">
        <v>1</v>
      </c>
      <c r="K159" s="33">
        <f>VLOOKUP(E159,照明設備稼働時間!$A$4:$F$72,5,FALSE)</f>
        <v>0</v>
      </c>
      <c r="L159" s="33" t="str">
        <f t="shared" si="4"/>
        <v>IL40W1非常灯　電源別置　φ100</v>
      </c>
      <c r="M159" s="33">
        <f>VLOOKUP(L159,照明器具一覧!$B$4:$F$155,5,FALSE)</f>
        <v>40</v>
      </c>
      <c r="N159" s="7">
        <v>1</v>
      </c>
      <c r="O159" s="82">
        <f t="shared" si="5"/>
        <v>0</v>
      </c>
    </row>
    <row r="160" spans="1:15">
      <c r="A160" s="7" t="s">
        <v>701</v>
      </c>
      <c r="B160" s="6" t="s">
        <v>532</v>
      </c>
      <c r="C160" s="74" t="s">
        <v>46</v>
      </c>
      <c r="D160" s="75" t="s">
        <v>116</v>
      </c>
      <c r="E160" s="7" t="s">
        <v>1101</v>
      </c>
      <c r="F160" s="76" t="s">
        <v>128</v>
      </c>
      <c r="G160" s="72" t="s">
        <v>38</v>
      </c>
      <c r="H160" s="34">
        <v>2</v>
      </c>
      <c r="I160" s="71" t="s">
        <v>359</v>
      </c>
      <c r="J160" s="32">
        <v>9</v>
      </c>
      <c r="K160" s="33">
        <f>VLOOKUP(E160,照明設備稼働時間!$A$4:$F$72,5,FALSE)</f>
        <v>927</v>
      </c>
      <c r="L160" s="33" t="str">
        <f t="shared" si="4"/>
        <v>FL40W2埋込W300</v>
      </c>
      <c r="M160" s="33">
        <f>VLOOKUP(L160,照明器具一覧!$B$4:$F$155,5,FALSE)</f>
        <v>94</v>
      </c>
      <c r="N160" s="7">
        <v>1</v>
      </c>
      <c r="O160" s="82">
        <f t="shared" si="5"/>
        <v>784.24199999999996</v>
      </c>
    </row>
    <row r="161" spans="1:15">
      <c r="A161" s="7" t="s">
        <v>703</v>
      </c>
      <c r="B161" s="6" t="s">
        <v>532</v>
      </c>
      <c r="C161" s="74" t="s">
        <v>68</v>
      </c>
      <c r="D161" s="75" t="s">
        <v>116</v>
      </c>
      <c r="E161" s="7" t="s">
        <v>1101</v>
      </c>
      <c r="F161" s="76" t="s">
        <v>128</v>
      </c>
      <c r="G161" s="72" t="s">
        <v>293</v>
      </c>
      <c r="H161" s="34">
        <v>2</v>
      </c>
      <c r="I161" s="71" t="s">
        <v>393</v>
      </c>
      <c r="J161" s="32">
        <v>4</v>
      </c>
      <c r="K161" s="33">
        <f>VLOOKUP(E161,照明設備稼働時間!$A$4:$F$72,5,FALSE)</f>
        <v>927</v>
      </c>
      <c r="L161" s="33" t="str">
        <f t="shared" si="4"/>
        <v>FL40SW ＋PIL100V40WS35E172埋込W300　非常照明　電源別置</v>
      </c>
      <c r="M161" s="33">
        <f>VLOOKUP(L161,照明器具一覧!$B$4:$F$155,5,FALSE)</f>
        <v>94</v>
      </c>
      <c r="N161" s="7">
        <v>1</v>
      </c>
      <c r="O161" s="82">
        <f t="shared" si="5"/>
        <v>348.55200000000002</v>
      </c>
    </row>
    <row r="162" spans="1:15">
      <c r="A162" s="7" t="s">
        <v>702</v>
      </c>
      <c r="B162" s="6" t="s">
        <v>532</v>
      </c>
      <c r="C162" s="74" t="s">
        <v>117</v>
      </c>
      <c r="D162" s="75" t="s">
        <v>116</v>
      </c>
      <c r="E162" s="7" t="s">
        <v>1101</v>
      </c>
      <c r="F162" s="76" t="s">
        <v>128</v>
      </c>
      <c r="G162" s="72" t="s">
        <v>448</v>
      </c>
      <c r="H162" s="34">
        <v>1</v>
      </c>
      <c r="I162" s="71" t="s">
        <v>367</v>
      </c>
      <c r="J162" s="32">
        <v>2</v>
      </c>
      <c r="K162" s="33">
        <f>VLOOKUP(E162,照明設備稼働時間!$A$4:$F$72,5,FALSE)</f>
        <v>927</v>
      </c>
      <c r="L162" s="33" t="str">
        <f t="shared" si="4"/>
        <v>FDL27W1ダウンライト　φ150</v>
      </c>
      <c r="M162" s="33">
        <f>VLOOKUP(L162,照明器具一覧!$B$4:$F$155,5,FALSE)</f>
        <v>34</v>
      </c>
      <c r="N162" s="7">
        <v>1</v>
      </c>
      <c r="O162" s="82">
        <f t="shared" si="5"/>
        <v>63.036000000000001</v>
      </c>
    </row>
    <row r="163" spans="1:15">
      <c r="A163" s="7" t="s">
        <v>704</v>
      </c>
      <c r="B163" s="6" t="s">
        <v>532</v>
      </c>
      <c r="C163" s="74" t="s">
        <v>18</v>
      </c>
      <c r="D163" s="75" t="s">
        <v>116</v>
      </c>
      <c r="E163" s="7" t="s">
        <v>1100</v>
      </c>
      <c r="F163" s="76" t="s">
        <v>129</v>
      </c>
      <c r="G163" s="72" t="s">
        <v>38</v>
      </c>
      <c r="H163" s="34">
        <v>1</v>
      </c>
      <c r="I163" s="71" t="s">
        <v>373</v>
      </c>
      <c r="J163" s="32">
        <v>3</v>
      </c>
      <c r="K163" s="33">
        <f>VLOOKUP(E163,照明設備稼働時間!$A$4:$F$72,5,FALSE)</f>
        <v>618</v>
      </c>
      <c r="L163" s="33" t="str">
        <f t="shared" si="4"/>
        <v>FL40W1片反射</v>
      </c>
      <c r="M163" s="33">
        <f>VLOOKUP(L163,照明器具一覧!$B$4:$F$155,5,FALSE)</f>
        <v>47</v>
      </c>
      <c r="N163" s="7">
        <v>1</v>
      </c>
      <c r="O163" s="82">
        <f t="shared" si="5"/>
        <v>87.138000000000005</v>
      </c>
    </row>
    <row r="164" spans="1:15">
      <c r="A164" s="7" t="s">
        <v>705</v>
      </c>
      <c r="B164" s="6" t="s">
        <v>532</v>
      </c>
      <c r="C164" s="74" t="s">
        <v>118</v>
      </c>
      <c r="D164" s="75" t="s">
        <v>116</v>
      </c>
      <c r="E164" s="7" t="s">
        <v>1100</v>
      </c>
      <c r="F164" s="76" t="s">
        <v>129</v>
      </c>
      <c r="G164" s="72" t="s">
        <v>38</v>
      </c>
      <c r="H164" s="34">
        <v>1</v>
      </c>
      <c r="I164" s="71" t="s">
        <v>356</v>
      </c>
      <c r="J164" s="32">
        <v>1</v>
      </c>
      <c r="K164" s="33">
        <f>VLOOKUP(E164,照明設備稼働時間!$A$4:$F$72,5,FALSE)</f>
        <v>618</v>
      </c>
      <c r="L164" s="33" t="str">
        <f t="shared" si="4"/>
        <v>FL40W1逆富士</v>
      </c>
      <c r="M164" s="33">
        <f>VLOOKUP(L164,照明器具一覧!$B$4:$F$155,5,FALSE)</f>
        <v>47</v>
      </c>
      <c r="N164" s="7">
        <v>1</v>
      </c>
      <c r="O164" s="82">
        <f t="shared" si="5"/>
        <v>29.045999999999999</v>
      </c>
    </row>
    <row r="165" spans="1:15">
      <c r="A165" s="7" t="s">
        <v>706</v>
      </c>
      <c r="B165" s="6" t="s">
        <v>532</v>
      </c>
      <c r="C165" s="74" t="s">
        <v>18</v>
      </c>
      <c r="D165" s="75" t="s">
        <v>116</v>
      </c>
      <c r="E165" s="7" t="s">
        <v>1100</v>
      </c>
      <c r="F165" s="76" t="s">
        <v>129</v>
      </c>
      <c r="G165" s="72" t="s">
        <v>38</v>
      </c>
      <c r="H165" s="34">
        <v>1</v>
      </c>
      <c r="I165" s="71" t="s">
        <v>373</v>
      </c>
      <c r="J165" s="32">
        <v>2</v>
      </c>
      <c r="K165" s="33">
        <f>VLOOKUP(E165,照明設備稼働時間!$A$4:$F$72,5,FALSE)</f>
        <v>618</v>
      </c>
      <c r="L165" s="33" t="str">
        <f t="shared" si="4"/>
        <v>FL40W1片反射</v>
      </c>
      <c r="M165" s="33">
        <f>VLOOKUP(L165,照明器具一覧!$B$4:$F$155,5,FALSE)</f>
        <v>47</v>
      </c>
      <c r="N165" s="7">
        <v>1</v>
      </c>
      <c r="O165" s="82">
        <f t="shared" si="5"/>
        <v>58.091999999999999</v>
      </c>
    </row>
    <row r="166" spans="1:15">
      <c r="A166" s="7" t="s">
        <v>707</v>
      </c>
      <c r="B166" s="6" t="s">
        <v>532</v>
      </c>
      <c r="C166" s="74" t="s">
        <v>18</v>
      </c>
      <c r="D166" s="75" t="s">
        <v>116</v>
      </c>
      <c r="E166" s="7" t="s">
        <v>1100</v>
      </c>
      <c r="F166" s="76" t="s">
        <v>129</v>
      </c>
      <c r="G166" s="72" t="s">
        <v>38</v>
      </c>
      <c r="H166" s="34">
        <v>1</v>
      </c>
      <c r="I166" s="71" t="s">
        <v>373</v>
      </c>
      <c r="J166" s="32">
        <v>1</v>
      </c>
      <c r="K166" s="33">
        <f>VLOOKUP(E166,照明設備稼働時間!$A$4:$F$72,5,FALSE)</f>
        <v>618</v>
      </c>
      <c r="L166" s="33" t="str">
        <f t="shared" si="4"/>
        <v>FL40W1片反射</v>
      </c>
      <c r="M166" s="33">
        <f>VLOOKUP(L166,照明器具一覧!$B$4:$F$155,5,FALSE)</f>
        <v>47</v>
      </c>
      <c r="N166" s="7">
        <v>1</v>
      </c>
      <c r="O166" s="82">
        <f t="shared" si="5"/>
        <v>29.045999999999999</v>
      </c>
    </row>
    <row r="167" spans="1:15">
      <c r="A167" s="7" t="s">
        <v>708</v>
      </c>
      <c r="B167" s="6" t="s">
        <v>532</v>
      </c>
      <c r="C167" s="74" t="s">
        <v>19</v>
      </c>
      <c r="D167" s="75" t="s">
        <v>116</v>
      </c>
      <c r="E167" s="7" t="s">
        <v>1100</v>
      </c>
      <c r="F167" s="76" t="s">
        <v>129</v>
      </c>
      <c r="G167" s="72" t="s">
        <v>38</v>
      </c>
      <c r="H167" s="34">
        <v>2</v>
      </c>
      <c r="I167" s="71" t="s">
        <v>394</v>
      </c>
      <c r="J167" s="32">
        <v>1</v>
      </c>
      <c r="K167" s="33">
        <f>VLOOKUP(E167,照明設備稼働時間!$A$4:$F$72,5,FALSE)</f>
        <v>618</v>
      </c>
      <c r="L167" s="33" t="str">
        <f t="shared" si="4"/>
        <v>FL40W2笠付</v>
      </c>
      <c r="M167" s="33">
        <f>VLOOKUP(L167,照明器具一覧!$B$4:$F$155,5,FALSE)</f>
        <v>94</v>
      </c>
      <c r="N167" s="7">
        <v>1</v>
      </c>
      <c r="O167" s="82">
        <f t="shared" si="5"/>
        <v>58.091999999999999</v>
      </c>
    </row>
    <row r="168" spans="1:15">
      <c r="A168" s="7" t="s">
        <v>709</v>
      </c>
      <c r="B168" s="6" t="s">
        <v>533</v>
      </c>
      <c r="C168" s="74" t="s">
        <v>28</v>
      </c>
      <c r="D168" s="75" t="s">
        <v>116</v>
      </c>
      <c r="E168" s="7" t="s">
        <v>509</v>
      </c>
      <c r="F168" s="76" t="s">
        <v>37</v>
      </c>
      <c r="G168" s="72" t="s">
        <v>307</v>
      </c>
      <c r="H168" s="34">
        <v>1</v>
      </c>
      <c r="I168" s="71" t="s">
        <v>318</v>
      </c>
      <c r="J168" s="32">
        <v>1</v>
      </c>
      <c r="K168" s="33">
        <f>VLOOKUP(E168,照明設備稼働時間!$A$4:$F$72,5,FALSE)</f>
        <v>4172</v>
      </c>
      <c r="L168" s="33" t="str">
        <f t="shared" si="4"/>
        <v>LED1直付　非常照明付　電池内蔵</v>
      </c>
      <c r="M168" s="33">
        <f>VLOOKUP(L168,照明器具一覧!$B$4:$F$155,5,FALSE)</f>
        <v>20</v>
      </c>
      <c r="N168" s="7">
        <v>1</v>
      </c>
      <c r="O168" s="82">
        <f t="shared" si="5"/>
        <v>83.44</v>
      </c>
    </row>
    <row r="169" spans="1:15">
      <c r="A169" s="7" t="s">
        <v>710</v>
      </c>
      <c r="B169" s="6" t="s">
        <v>532</v>
      </c>
      <c r="C169" s="74" t="s">
        <v>53</v>
      </c>
      <c r="D169" s="75" t="s">
        <v>116</v>
      </c>
      <c r="E169" s="7" t="s">
        <v>516</v>
      </c>
      <c r="F169" s="76" t="s">
        <v>269</v>
      </c>
      <c r="G169" s="72" t="s">
        <v>147</v>
      </c>
      <c r="H169" s="34">
        <v>1</v>
      </c>
      <c r="I169" s="71" t="s">
        <v>395</v>
      </c>
      <c r="J169" s="32">
        <v>1</v>
      </c>
      <c r="K169" s="33">
        <f>VLOOKUP(E169,照明設備稼働時間!$A$4:$F$72,5,FALSE)</f>
        <v>0</v>
      </c>
      <c r="L169" s="33" t="str">
        <f t="shared" si="4"/>
        <v>IL40W1直付白熱灯</v>
      </c>
      <c r="M169" s="33">
        <f>VLOOKUP(L169,照明器具一覧!$B$4:$F$155,5,FALSE)</f>
        <v>40</v>
      </c>
      <c r="N169" s="7">
        <v>1</v>
      </c>
      <c r="O169" s="82">
        <f t="shared" si="5"/>
        <v>0</v>
      </c>
    </row>
    <row r="170" spans="1:15">
      <c r="A170" s="7" t="s">
        <v>711</v>
      </c>
      <c r="B170" s="6" t="s">
        <v>532</v>
      </c>
      <c r="C170" s="74" t="s">
        <v>345</v>
      </c>
      <c r="D170" s="75" t="s">
        <v>116</v>
      </c>
      <c r="E170" s="7" t="s">
        <v>516</v>
      </c>
      <c r="F170" s="76" t="s">
        <v>343</v>
      </c>
      <c r="G170" s="72" t="s">
        <v>40</v>
      </c>
      <c r="H170" s="34">
        <v>1</v>
      </c>
      <c r="I170" s="71" t="s">
        <v>373</v>
      </c>
      <c r="J170" s="32">
        <v>1</v>
      </c>
      <c r="K170" s="33">
        <f>VLOOKUP(E170,照明設備稼働時間!$A$4:$F$72,5,FALSE)</f>
        <v>0</v>
      </c>
      <c r="L170" s="33" t="str">
        <f t="shared" si="4"/>
        <v>FL20W1片反射</v>
      </c>
      <c r="M170" s="33">
        <f>VLOOKUP(L170,照明器具一覧!$B$4:$F$155,5,FALSE)</f>
        <v>22</v>
      </c>
      <c r="N170" s="7">
        <v>1</v>
      </c>
      <c r="O170" s="82">
        <f t="shared" si="5"/>
        <v>0</v>
      </c>
    </row>
    <row r="171" spans="1:15">
      <c r="A171" s="7" t="s">
        <v>712</v>
      </c>
      <c r="B171" s="6" t="s">
        <v>532</v>
      </c>
      <c r="C171" s="74" t="s">
        <v>119</v>
      </c>
      <c r="D171" s="75" t="s">
        <v>116</v>
      </c>
      <c r="E171" s="7" t="s">
        <v>509</v>
      </c>
      <c r="F171" s="76" t="s">
        <v>36</v>
      </c>
      <c r="G171" s="72" t="s">
        <v>451</v>
      </c>
      <c r="H171" s="34">
        <v>3</v>
      </c>
      <c r="I171" s="71" t="s">
        <v>397</v>
      </c>
      <c r="J171" s="32">
        <v>3</v>
      </c>
      <c r="K171" s="33">
        <f>VLOOKUP(E171,照明設備稼働時間!$A$4:$F$72,5,FALSE)</f>
        <v>4172</v>
      </c>
      <c r="L171" s="33" t="str">
        <f t="shared" si="4"/>
        <v>FPL36W3埋込　スクエア□450</v>
      </c>
      <c r="M171" s="33">
        <f>VLOOKUP(L171,照明器具一覧!$B$4:$F$155,5,FALSE)</f>
        <v>136</v>
      </c>
      <c r="N171" s="7">
        <v>0.33</v>
      </c>
      <c r="O171" s="82">
        <f t="shared" si="5"/>
        <v>561.7180800000001</v>
      </c>
    </row>
    <row r="172" spans="1:15">
      <c r="A172" s="7" t="s">
        <v>713</v>
      </c>
      <c r="B172" s="6" t="s">
        <v>532</v>
      </c>
      <c r="C172" s="74" t="s">
        <v>27</v>
      </c>
      <c r="D172" s="75" t="s">
        <v>116</v>
      </c>
      <c r="E172" s="7" t="s">
        <v>509</v>
      </c>
      <c r="F172" s="76" t="s">
        <v>36</v>
      </c>
      <c r="G172" s="72" t="s">
        <v>446</v>
      </c>
      <c r="H172" s="34">
        <v>2</v>
      </c>
      <c r="I172" s="71" t="s">
        <v>360</v>
      </c>
      <c r="J172" s="32">
        <v>1</v>
      </c>
      <c r="K172" s="33">
        <f>VLOOKUP(E172,照明設備稼働時間!$A$4:$F$72,5,FALSE)</f>
        <v>4172</v>
      </c>
      <c r="L172" s="33" t="str">
        <f t="shared" si="4"/>
        <v>FPL28W2埋込　スクエア□350</v>
      </c>
      <c r="M172" s="33">
        <f>VLOOKUP(L172,照明器具一覧!$B$4:$F$155,5,FALSE)</f>
        <v>31</v>
      </c>
      <c r="N172" s="7">
        <v>1</v>
      </c>
      <c r="O172" s="82">
        <f t="shared" si="5"/>
        <v>129.33199999999999</v>
      </c>
    </row>
    <row r="173" spans="1:15">
      <c r="A173" s="7" t="s">
        <v>714</v>
      </c>
      <c r="B173" s="6" t="s">
        <v>532</v>
      </c>
      <c r="C173" s="74" t="s">
        <v>61</v>
      </c>
      <c r="D173" s="75" t="s">
        <v>116</v>
      </c>
      <c r="E173" s="7" t="s">
        <v>509</v>
      </c>
      <c r="F173" s="76" t="s">
        <v>36</v>
      </c>
      <c r="G173" s="72" t="s">
        <v>379</v>
      </c>
      <c r="H173" s="34">
        <v>1</v>
      </c>
      <c r="I173" s="71" t="s">
        <v>378</v>
      </c>
      <c r="J173" s="32">
        <v>2</v>
      </c>
      <c r="K173" s="33">
        <f>VLOOKUP(E173,照明設備稼働時間!$A$4:$F$72,5,FALSE)</f>
        <v>4172</v>
      </c>
      <c r="L173" s="33" t="str">
        <f t="shared" si="4"/>
        <v>IL50W1ダウンライト　φ75</v>
      </c>
      <c r="M173" s="33">
        <f>VLOOKUP(L173,照明器具一覧!$B$4:$F$155,5,FALSE)</f>
        <v>50</v>
      </c>
      <c r="N173" s="7">
        <v>1</v>
      </c>
      <c r="O173" s="82">
        <f t="shared" si="5"/>
        <v>417.2</v>
      </c>
    </row>
    <row r="174" spans="1:15">
      <c r="A174" s="7" t="s">
        <v>715</v>
      </c>
      <c r="B174" s="6" t="s">
        <v>532</v>
      </c>
      <c r="C174" s="74" t="s">
        <v>120</v>
      </c>
      <c r="D174" s="75" t="s">
        <v>116</v>
      </c>
      <c r="E174" s="7" t="s">
        <v>509</v>
      </c>
      <c r="F174" s="76" t="s">
        <v>36</v>
      </c>
      <c r="G174" s="72" t="s">
        <v>38</v>
      </c>
      <c r="H174" s="34">
        <v>2</v>
      </c>
      <c r="I174" s="71" t="s">
        <v>359</v>
      </c>
      <c r="J174" s="32">
        <v>13</v>
      </c>
      <c r="K174" s="33">
        <f>VLOOKUP(E174,照明設備稼働時間!$A$4:$F$72,5,FALSE)</f>
        <v>4172</v>
      </c>
      <c r="L174" s="33" t="str">
        <f t="shared" si="4"/>
        <v>FL40W2埋込W300</v>
      </c>
      <c r="M174" s="33">
        <f>VLOOKUP(L174,照明器具一覧!$B$4:$F$155,5,FALSE)</f>
        <v>94</v>
      </c>
      <c r="N174" s="7">
        <v>1</v>
      </c>
      <c r="O174" s="82">
        <f t="shared" si="5"/>
        <v>5098.1840000000002</v>
      </c>
    </row>
    <row r="175" spans="1:15">
      <c r="A175" s="7" t="s">
        <v>716</v>
      </c>
      <c r="B175" s="6" t="s">
        <v>532</v>
      </c>
      <c r="C175" s="74" t="s">
        <v>121</v>
      </c>
      <c r="D175" s="75" t="s">
        <v>116</v>
      </c>
      <c r="E175" s="7" t="s">
        <v>509</v>
      </c>
      <c r="F175" s="76" t="s">
        <v>36</v>
      </c>
      <c r="G175" s="72" t="s">
        <v>293</v>
      </c>
      <c r="H175" s="34">
        <v>2</v>
      </c>
      <c r="I175" s="71" t="s">
        <v>359</v>
      </c>
      <c r="J175" s="32">
        <v>3</v>
      </c>
      <c r="K175" s="33">
        <f>VLOOKUP(E175,照明設備稼働時間!$A$4:$F$72,5,FALSE)</f>
        <v>4172</v>
      </c>
      <c r="L175" s="33" t="str">
        <f t="shared" si="4"/>
        <v>FL40SW ＋PIL100V40WS35E172埋込W300</v>
      </c>
      <c r="M175" s="33">
        <f>VLOOKUP(L175,照明器具一覧!$B$4:$F$155,5,FALSE)</f>
        <v>94</v>
      </c>
      <c r="N175" s="7">
        <v>1</v>
      </c>
      <c r="O175" s="82">
        <f t="shared" si="5"/>
        <v>1176.5039999999999</v>
      </c>
    </row>
    <row r="176" spans="1:15">
      <c r="A176" s="7" t="s">
        <v>717</v>
      </c>
      <c r="B176" s="6" t="s">
        <v>532</v>
      </c>
      <c r="C176" s="74" t="s">
        <v>61</v>
      </c>
      <c r="D176" s="75" t="s">
        <v>116</v>
      </c>
      <c r="E176" s="7" t="s">
        <v>509</v>
      </c>
      <c r="F176" s="76" t="s">
        <v>36</v>
      </c>
      <c r="G176" s="72" t="s">
        <v>379</v>
      </c>
      <c r="H176" s="34">
        <v>1</v>
      </c>
      <c r="I176" s="71" t="s">
        <v>378</v>
      </c>
      <c r="J176" s="32">
        <v>1</v>
      </c>
      <c r="K176" s="33">
        <f>VLOOKUP(E176,照明設備稼働時間!$A$4:$F$72,5,FALSE)</f>
        <v>4172</v>
      </c>
      <c r="L176" s="33" t="str">
        <f t="shared" si="4"/>
        <v>IL50W1ダウンライト　φ75</v>
      </c>
      <c r="M176" s="33">
        <f>VLOOKUP(L176,照明器具一覧!$B$4:$F$155,5,FALSE)</f>
        <v>50</v>
      </c>
      <c r="N176" s="7">
        <v>1</v>
      </c>
      <c r="O176" s="82">
        <f t="shared" si="5"/>
        <v>208.6</v>
      </c>
    </row>
    <row r="177" spans="1:15">
      <c r="A177" s="7" t="s">
        <v>718</v>
      </c>
      <c r="B177" s="6" t="s">
        <v>532</v>
      </c>
      <c r="C177" s="74" t="s">
        <v>61</v>
      </c>
      <c r="D177" s="75" t="s">
        <v>116</v>
      </c>
      <c r="E177" s="7" t="s">
        <v>509</v>
      </c>
      <c r="F177" s="76" t="s">
        <v>36</v>
      </c>
      <c r="G177" s="72" t="s">
        <v>379</v>
      </c>
      <c r="H177" s="34">
        <v>1</v>
      </c>
      <c r="I177" s="71" t="s">
        <v>378</v>
      </c>
      <c r="J177" s="32">
        <v>2</v>
      </c>
      <c r="K177" s="33">
        <f>VLOOKUP(E177,照明設備稼働時間!$A$4:$F$72,5,FALSE)</f>
        <v>4172</v>
      </c>
      <c r="L177" s="33" t="str">
        <f t="shared" si="4"/>
        <v>IL50W1ダウンライト　φ75</v>
      </c>
      <c r="M177" s="33">
        <f>VLOOKUP(L177,照明器具一覧!$B$4:$F$155,5,FALSE)</f>
        <v>50</v>
      </c>
      <c r="N177" s="7">
        <v>1</v>
      </c>
      <c r="O177" s="82">
        <f t="shared" si="5"/>
        <v>417.2</v>
      </c>
    </row>
    <row r="178" spans="1:15">
      <c r="A178" s="7" t="s">
        <v>719</v>
      </c>
      <c r="B178" s="6" t="s">
        <v>532</v>
      </c>
      <c r="C178" s="74" t="s">
        <v>122</v>
      </c>
      <c r="D178" s="75" t="s">
        <v>116</v>
      </c>
      <c r="E178" s="7" t="s">
        <v>509</v>
      </c>
      <c r="F178" s="76" t="s">
        <v>302</v>
      </c>
      <c r="G178" s="72" t="s">
        <v>452</v>
      </c>
      <c r="H178" s="34">
        <v>1</v>
      </c>
      <c r="I178" s="71" t="s">
        <v>398</v>
      </c>
      <c r="J178" s="32">
        <v>12</v>
      </c>
      <c r="K178" s="33">
        <f>VLOOKUP(E178,照明設備稼働時間!$A$4:$F$72,5,FALSE)</f>
        <v>4172</v>
      </c>
      <c r="L178" s="33" t="str">
        <f t="shared" si="4"/>
        <v>HQI250W1埋込　φ420　電動昇降式</v>
      </c>
      <c r="M178" s="33">
        <f>VLOOKUP(L178,照明器具一覧!$B$4:$F$155,5,FALSE)</f>
        <v>290</v>
      </c>
      <c r="N178" s="7">
        <v>0.66</v>
      </c>
      <c r="O178" s="82">
        <f t="shared" si="5"/>
        <v>9582.2495999999992</v>
      </c>
    </row>
    <row r="179" spans="1:15">
      <c r="A179" s="7" t="s">
        <v>720</v>
      </c>
      <c r="B179" s="6" t="s">
        <v>532</v>
      </c>
      <c r="C179" s="74" t="s">
        <v>46</v>
      </c>
      <c r="D179" s="75" t="s">
        <v>116</v>
      </c>
      <c r="E179" s="7" t="s">
        <v>1059</v>
      </c>
      <c r="F179" s="76" t="s">
        <v>130</v>
      </c>
      <c r="G179" s="72" t="s">
        <v>38</v>
      </c>
      <c r="H179" s="34">
        <v>2</v>
      </c>
      <c r="I179" s="71" t="s">
        <v>359</v>
      </c>
      <c r="J179" s="32">
        <v>14</v>
      </c>
      <c r="K179" s="33">
        <f>VLOOKUP(E179,照明設備稼働時間!$A$4:$F$72,5,FALSE)</f>
        <v>309</v>
      </c>
      <c r="L179" s="33" t="str">
        <f t="shared" si="4"/>
        <v>FL40W2埋込W300</v>
      </c>
      <c r="M179" s="33">
        <f>VLOOKUP(L179,照明器具一覧!$B$4:$F$155,5,FALSE)</f>
        <v>94</v>
      </c>
      <c r="N179" s="7">
        <v>1</v>
      </c>
      <c r="O179" s="82">
        <f t="shared" si="5"/>
        <v>406.64400000000001</v>
      </c>
    </row>
    <row r="180" spans="1:15">
      <c r="A180" s="7" t="s">
        <v>721</v>
      </c>
      <c r="B180" s="6" t="s">
        <v>532</v>
      </c>
      <c r="C180" s="74" t="s">
        <v>68</v>
      </c>
      <c r="D180" s="75" t="s">
        <v>116</v>
      </c>
      <c r="E180" s="7" t="s">
        <v>1059</v>
      </c>
      <c r="F180" s="76" t="s">
        <v>130</v>
      </c>
      <c r="G180" s="72" t="s">
        <v>39</v>
      </c>
      <c r="H180" s="34">
        <v>2</v>
      </c>
      <c r="I180" s="71" t="s">
        <v>359</v>
      </c>
      <c r="J180" s="32">
        <v>4</v>
      </c>
      <c r="K180" s="33">
        <f>VLOOKUP(E180,照明設備稼働時間!$A$4:$F$72,5,FALSE)</f>
        <v>309</v>
      </c>
      <c r="L180" s="33" t="str">
        <f t="shared" si="4"/>
        <v>FL40SW ＋PIL100V40WS35E172埋込W300</v>
      </c>
      <c r="M180" s="33">
        <f>VLOOKUP(L180,照明器具一覧!$B$4:$F$155,5,FALSE)</f>
        <v>94</v>
      </c>
      <c r="N180" s="7">
        <v>1</v>
      </c>
      <c r="O180" s="82">
        <f t="shared" si="5"/>
        <v>116.184</v>
      </c>
    </row>
    <row r="181" spans="1:15">
      <c r="A181" s="7" t="s">
        <v>722</v>
      </c>
      <c r="B181" s="6" t="s">
        <v>532</v>
      </c>
      <c r="C181" s="74" t="s">
        <v>27</v>
      </c>
      <c r="D181" s="75" t="s">
        <v>116</v>
      </c>
      <c r="E181" s="7" t="s">
        <v>509</v>
      </c>
      <c r="F181" s="76" t="s">
        <v>36</v>
      </c>
      <c r="G181" s="72" t="s">
        <v>446</v>
      </c>
      <c r="H181" s="34">
        <v>2</v>
      </c>
      <c r="I181" s="71" t="s">
        <v>360</v>
      </c>
      <c r="J181" s="32">
        <v>3</v>
      </c>
      <c r="K181" s="33">
        <f>VLOOKUP(E181,照明設備稼働時間!$A$4:$F$72,5,FALSE)</f>
        <v>4172</v>
      </c>
      <c r="L181" s="33" t="str">
        <f t="shared" si="4"/>
        <v>FPL28W2埋込　スクエア□350</v>
      </c>
      <c r="M181" s="33">
        <f>VLOOKUP(L181,照明器具一覧!$B$4:$F$155,5,FALSE)</f>
        <v>31</v>
      </c>
      <c r="N181" s="7">
        <v>1</v>
      </c>
      <c r="O181" s="82">
        <f t="shared" si="5"/>
        <v>387.99599999999998</v>
      </c>
    </row>
    <row r="182" spans="1:15">
      <c r="A182" s="7" t="s">
        <v>723</v>
      </c>
      <c r="B182" s="6" t="s">
        <v>532</v>
      </c>
      <c r="C182" s="74" t="s">
        <v>20</v>
      </c>
      <c r="D182" s="75" t="s">
        <v>116</v>
      </c>
      <c r="E182" s="7" t="s">
        <v>1100</v>
      </c>
      <c r="F182" s="76" t="s">
        <v>129</v>
      </c>
      <c r="G182" s="72" t="s">
        <v>38</v>
      </c>
      <c r="H182" s="34">
        <v>2</v>
      </c>
      <c r="I182" s="71" t="s">
        <v>399</v>
      </c>
      <c r="J182" s="32">
        <v>4</v>
      </c>
      <c r="K182" s="33">
        <f>VLOOKUP(E182,照明設備稼働時間!$A$4:$F$72,5,FALSE)</f>
        <v>618</v>
      </c>
      <c r="L182" s="33" t="str">
        <f t="shared" si="4"/>
        <v>FL40W2笠付　パイプ吊</v>
      </c>
      <c r="M182" s="33">
        <f>VLOOKUP(L182,照明器具一覧!$B$4:$F$155,5,FALSE)</f>
        <v>94</v>
      </c>
      <c r="N182" s="7">
        <v>1</v>
      </c>
      <c r="O182" s="82">
        <f t="shared" si="5"/>
        <v>232.36799999999999</v>
      </c>
    </row>
    <row r="183" spans="1:15">
      <c r="A183" s="7" t="s">
        <v>724</v>
      </c>
      <c r="B183" s="6" t="s">
        <v>532</v>
      </c>
      <c r="C183" s="74" t="s">
        <v>18</v>
      </c>
      <c r="D183" s="75" t="s">
        <v>116</v>
      </c>
      <c r="E183" s="7" t="s">
        <v>1100</v>
      </c>
      <c r="F183" s="76" t="s">
        <v>129</v>
      </c>
      <c r="G183" s="72" t="s">
        <v>38</v>
      </c>
      <c r="H183" s="34">
        <v>1</v>
      </c>
      <c r="I183" s="71" t="s">
        <v>400</v>
      </c>
      <c r="J183" s="32">
        <v>2</v>
      </c>
      <c r="K183" s="33">
        <f>VLOOKUP(E183,照明設備稼働時間!$A$4:$F$72,5,FALSE)</f>
        <v>618</v>
      </c>
      <c r="L183" s="33" t="str">
        <f t="shared" si="4"/>
        <v>FL40W1片反射　ガード付</v>
      </c>
      <c r="M183" s="33">
        <f>VLOOKUP(L183,照明器具一覧!$B$4:$F$155,5,FALSE)</f>
        <v>47</v>
      </c>
      <c r="N183" s="7">
        <v>1</v>
      </c>
      <c r="O183" s="82">
        <f t="shared" si="5"/>
        <v>58.091999999999999</v>
      </c>
    </row>
    <row r="184" spans="1:15">
      <c r="A184" s="7" t="s">
        <v>725</v>
      </c>
      <c r="B184" s="6" t="s">
        <v>532</v>
      </c>
      <c r="C184" s="74"/>
      <c r="D184" s="75" t="s">
        <v>116</v>
      </c>
      <c r="E184" s="7" t="s">
        <v>1100</v>
      </c>
      <c r="F184" s="76" t="s">
        <v>129</v>
      </c>
      <c r="G184" s="72" t="s">
        <v>38</v>
      </c>
      <c r="H184" s="34">
        <v>1</v>
      </c>
      <c r="I184" s="71" t="s">
        <v>401</v>
      </c>
      <c r="J184" s="32">
        <v>2</v>
      </c>
      <c r="K184" s="33">
        <f>VLOOKUP(E184,照明設備稼働時間!$A$4:$F$72,5,FALSE)</f>
        <v>618</v>
      </c>
      <c r="L184" s="33" t="str">
        <f t="shared" si="4"/>
        <v>FL40W1逆富士</v>
      </c>
      <c r="M184" s="33">
        <f>VLOOKUP(L184,照明器具一覧!$B$4:$F$155,5,FALSE)</f>
        <v>47</v>
      </c>
      <c r="N184" s="7">
        <v>1</v>
      </c>
      <c r="O184" s="82">
        <f t="shared" si="5"/>
        <v>58.091999999999999</v>
      </c>
    </row>
    <row r="185" spans="1:15">
      <c r="A185" s="7" t="s">
        <v>726</v>
      </c>
      <c r="B185" s="6" t="s">
        <v>532</v>
      </c>
      <c r="C185" s="74" t="s">
        <v>124</v>
      </c>
      <c r="D185" s="75" t="s">
        <v>116</v>
      </c>
      <c r="E185" s="7" t="s">
        <v>1102</v>
      </c>
      <c r="F185" s="76" t="s">
        <v>131</v>
      </c>
      <c r="G185" s="72" t="s">
        <v>38</v>
      </c>
      <c r="H185" s="34">
        <v>2</v>
      </c>
      <c r="I185" s="71" t="s">
        <v>359</v>
      </c>
      <c r="J185" s="32">
        <v>10</v>
      </c>
      <c r="K185" s="33">
        <f>VLOOKUP(E185,照明設備稼働時間!$A$4:$F$72,5,FALSE)</f>
        <v>927</v>
      </c>
      <c r="L185" s="33" t="str">
        <f t="shared" si="4"/>
        <v>FL40W2埋込W300</v>
      </c>
      <c r="M185" s="33">
        <f>VLOOKUP(L185,照明器具一覧!$B$4:$F$155,5,FALSE)</f>
        <v>94</v>
      </c>
      <c r="N185" s="7">
        <v>1</v>
      </c>
      <c r="O185" s="82">
        <f t="shared" si="5"/>
        <v>871.38</v>
      </c>
    </row>
    <row r="186" spans="1:15">
      <c r="A186" s="7" t="s">
        <v>727</v>
      </c>
      <c r="B186" s="6" t="s">
        <v>532</v>
      </c>
      <c r="C186" s="74" t="s">
        <v>70</v>
      </c>
      <c r="D186" s="75" t="s">
        <v>116</v>
      </c>
      <c r="E186" s="7" t="s">
        <v>1058</v>
      </c>
      <c r="F186" s="76" t="s">
        <v>132</v>
      </c>
      <c r="G186" s="72" t="s">
        <v>449</v>
      </c>
      <c r="H186" s="34">
        <v>4</v>
      </c>
      <c r="I186" s="71" t="s">
        <v>388</v>
      </c>
      <c r="J186" s="32">
        <v>6</v>
      </c>
      <c r="K186" s="33">
        <f>VLOOKUP(E186,照明設備稼働時間!$A$4:$F$72,5,FALSE)</f>
        <v>1854</v>
      </c>
      <c r="L186" s="33" t="str">
        <f t="shared" si="4"/>
        <v>FPL55W4埋込　スクエア□600</v>
      </c>
      <c r="M186" s="33">
        <f>VLOOKUP(L186,照明器具一覧!$B$4:$F$155,5,FALSE)</f>
        <v>220</v>
      </c>
      <c r="N186" s="7">
        <v>1</v>
      </c>
      <c r="O186" s="82">
        <f t="shared" si="5"/>
        <v>2447.2800000000002</v>
      </c>
    </row>
    <row r="187" spans="1:15">
      <c r="A187" s="7" t="s">
        <v>728</v>
      </c>
      <c r="B187" s="6" t="s">
        <v>532</v>
      </c>
      <c r="C187" s="74" t="s">
        <v>71</v>
      </c>
      <c r="D187" s="75" t="s">
        <v>116</v>
      </c>
      <c r="E187" s="7" t="s">
        <v>1058</v>
      </c>
      <c r="F187" s="76" t="s">
        <v>133</v>
      </c>
      <c r="G187" s="72" t="s">
        <v>340</v>
      </c>
      <c r="H187" s="34">
        <v>1</v>
      </c>
      <c r="I187" s="71" t="s">
        <v>367</v>
      </c>
      <c r="J187" s="32">
        <v>2</v>
      </c>
      <c r="K187" s="33">
        <f>VLOOKUP(E187,照明設備稼働時間!$A$4:$F$72,5,FALSE)</f>
        <v>1854</v>
      </c>
      <c r="L187" s="33" t="str">
        <f t="shared" si="4"/>
        <v>FDL18W1ダウンライト　φ150</v>
      </c>
      <c r="M187" s="33">
        <f>VLOOKUP(L187,照明器具一覧!$B$4:$F$155,5,FALSE)</f>
        <v>22</v>
      </c>
      <c r="N187" s="7">
        <v>1</v>
      </c>
      <c r="O187" s="82">
        <f t="shared" si="5"/>
        <v>81.575999999999993</v>
      </c>
    </row>
    <row r="188" spans="1:15">
      <c r="A188" s="7" t="s">
        <v>729</v>
      </c>
      <c r="B188" s="6" t="s">
        <v>532</v>
      </c>
      <c r="C188" s="74" t="s">
        <v>27</v>
      </c>
      <c r="D188" s="75" t="s">
        <v>116</v>
      </c>
      <c r="E188" s="7" t="s">
        <v>1058</v>
      </c>
      <c r="F188" s="76" t="s">
        <v>134</v>
      </c>
      <c r="G188" s="72" t="s">
        <v>446</v>
      </c>
      <c r="H188" s="34">
        <v>2</v>
      </c>
      <c r="I188" s="71" t="s">
        <v>360</v>
      </c>
      <c r="J188" s="32">
        <v>2</v>
      </c>
      <c r="K188" s="33">
        <f>VLOOKUP(E188,照明設備稼働時間!$A$4:$F$72,5,FALSE)</f>
        <v>1854</v>
      </c>
      <c r="L188" s="33" t="str">
        <f t="shared" si="4"/>
        <v>FPL28W2埋込　スクエア□350</v>
      </c>
      <c r="M188" s="33">
        <f>VLOOKUP(L188,照明器具一覧!$B$4:$F$155,5,FALSE)</f>
        <v>31</v>
      </c>
      <c r="N188" s="7">
        <v>1</v>
      </c>
      <c r="O188" s="82">
        <f t="shared" si="5"/>
        <v>114.94799999999999</v>
      </c>
    </row>
    <row r="189" spans="1:15">
      <c r="A189" s="7" t="s">
        <v>730</v>
      </c>
      <c r="B189" s="6" t="s">
        <v>532</v>
      </c>
      <c r="C189" s="74" t="s">
        <v>51</v>
      </c>
      <c r="D189" s="75" t="s">
        <v>116</v>
      </c>
      <c r="E189" s="7" t="s">
        <v>511</v>
      </c>
      <c r="F189" s="76" t="s">
        <v>135</v>
      </c>
      <c r="G189" s="72" t="s">
        <v>40</v>
      </c>
      <c r="H189" s="34">
        <v>2</v>
      </c>
      <c r="I189" s="71" t="s">
        <v>359</v>
      </c>
      <c r="J189" s="32">
        <v>1</v>
      </c>
      <c r="K189" s="33">
        <f>VLOOKUP(E189,照明設備稼働時間!$A$4:$F$72,5,FALSE)</f>
        <v>618</v>
      </c>
      <c r="L189" s="33" t="str">
        <f t="shared" si="4"/>
        <v>FL20W2埋込W300</v>
      </c>
      <c r="M189" s="33">
        <f>VLOOKUP(L189,照明器具一覧!$B$4:$F$155,5,FALSE)</f>
        <v>44</v>
      </c>
      <c r="N189" s="7">
        <v>1</v>
      </c>
      <c r="O189" s="82">
        <f t="shared" si="5"/>
        <v>27.192</v>
      </c>
    </row>
    <row r="190" spans="1:15">
      <c r="A190" s="7" t="s">
        <v>731</v>
      </c>
      <c r="B190" s="6" t="s">
        <v>532</v>
      </c>
      <c r="C190" s="74" t="s">
        <v>310</v>
      </c>
      <c r="D190" s="75" t="s">
        <v>116</v>
      </c>
      <c r="E190" s="7" t="s">
        <v>511</v>
      </c>
      <c r="F190" s="76" t="s">
        <v>135</v>
      </c>
      <c r="G190" s="72" t="s">
        <v>40</v>
      </c>
      <c r="H190" s="34">
        <v>1</v>
      </c>
      <c r="I190" s="71" t="s">
        <v>402</v>
      </c>
      <c r="J190" s="32">
        <v>1</v>
      </c>
      <c r="K190" s="33">
        <f>VLOOKUP(E190,照明設備稼働時間!$A$4:$F$72,5,FALSE)</f>
        <v>618</v>
      </c>
      <c r="L190" s="33" t="str">
        <f t="shared" si="4"/>
        <v>FL20W1流し元灯</v>
      </c>
      <c r="M190" s="33">
        <f>VLOOKUP(L190,照明器具一覧!$B$4:$F$155,5,FALSE)</f>
        <v>22</v>
      </c>
      <c r="N190" s="7">
        <v>1</v>
      </c>
      <c r="O190" s="82">
        <f t="shared" si="5"/>
        <v>13.596</v>
      </c>
    </row>
    <row r="191" spans="1:15">
      <c r="A191" s="7" t="s">
        <v>732</v>
      </c>
      <c r="B191" s="6" t="s">
        <v>532</v>
      </c>
      <c r="C191" s="74" t="s">
        <v>251</v>
      </c>
      <c r="D191" s="75" t="s">
        <v>116</v>
      </c>
      <c r="E191" s="7" t="s">
        <v>509</v>
      </c>
      <c r="F191" s="76" t="s">
        <v>136</v>
      </c>
      <c r="G191" s="72" t="s">
        <v>146</v>
      </c>
      <c r="H191" s="34">
        <v>1</v>
      </c>
      <c r="I191" s="71" t="s">
        <v>367</v>
      </c>
      <c r="J191" s="32">
        <v>1</v>
      </c>
      <c r="K191" s="33">
        <f>VLOOKUP(E191,照明設備稼働時間!$A$4:$F$72,5,FALSE)</f>
        <v>4172</v>
      </c>
      <c r="L191" s="33" t="str">
        <f t="shared" si="4"/>
        <v>FPL18W1ダウンライト　φ150</v>
      </c>
      <c r="M191" s="33">
        <f>VLOOKUP(L191,照明器具一覧!$B$4:$F$155,5,FALSE)</f>
        <v>20</v>
      </c>
      <c r="N191" s="7">
        <v>1</v>
      </c>
      <c r="O191" s="82">
        <f t="shared" si="5"/>
        <v>83.44</v>
      </c>
    </row>
    <row r="192" spans="1:15">
      <c r="A192" s="7" t="s">
        <v>733</v>
      </c>
      <c r="B192" s="6" t="s">
        <v>532</v>
      </c>
      <c r="C192" s="74" t="s">
        <v>125</v>
      </c>
      <c r="D192" s="75" t="s">
        <v>116</v>
      </c>
      <c r="E192" s="7" t="s">
        <v>1098</v>
      </c>
      <c r="F192" s="76" t="s">
        <v>88</v>
      </c>
      <c r="G192" s="72" t="s">
        <v>40</v>
      </c>
      <c r="H192" s="34">
        <v>1</v>
      </c>
      <c r="I192" s="71" t="s">
        <v>403</v>
      </c>
      <c r="J192" s="32">
        <v>1</v>
      </c>
      <c r="K192" s="33">
        <f>VLOOKUP(E192,照明設備稼働時間!$A$4:$F$72,5,FALSE)</f>
        <v>1854</v>
      </c>
      <c r="L192" s="33" t="str">
        <f t="shared" si="4"/>
        <v>FL20W1埋込W190</v>
      </c>
      <c r="M192" s="33">
        <f>VLOOKUP(L192,照明器具一覧!$B$4:$F$155,5,FALSE)</f>
        <v>22</v>
      </c>
      <c r="N192" s="7">
        <v>1</v>
      </c>
      <c r="O192" s="82">
        <f t="shared" si="5"/>
        <v>40.787999999999997</v>
      </c>
    </row>
    <row r="193" spans="1:15">
      <c r="A193" s="7" t="s">
        <v>734</v>
      </c>
      <c r="B193" s="6" t="s">
        <v>532</v>
      </c>
      <c r="C193" s="74" t="s">
        <v>251</v>
      </c>
      <c r="D193" s="75" t="s">
        <v>116</v>
      </c>
      <c r="E193" s="7" t="s">
        <v>1098</v>
      </c>
      <c r="F193" s="76" t="s">
        <v>88</v>
      </c>
      <c r="G193" s="72" t="s">
        <v>146</v>
      </c>
      <c r="H193" s="34">
        <v>1</v>
      </c>
      <c r="I193" s="71" t="s">
        <v>367</v>
      </c>
      <c r="J193" s="32">
        <v>2</v>
      </c>
      <c r="K193" s="33">
        <f>VLOOKUP(E193,照明設備稼働時間!$A$4:$F$72,5,FALSE)</f>
        <v>1854</v>
      </c>
      <c r="L193" s="33" t="str">
        <f t="shared" si="4"/>
        <v>FPL18W1ダウンライト　φ150</v>
      </c>
      <c r="M193" s="33">
        <f>VLOOKUP(L193,照明器具一覧!$B$4:$F$155,5,FALSE)</f>
        <v>20</v>
      </c>
      <c r="N193" s="7">
        <v>1</v>
      </c>
      <c r="O193" s="82">
        <f t="shared" si="5"/>
        <v>74.16</v>
      </c>
    </row>
    <row r="194" spans="1:15">
      <c r="A194" s="7" t="s">
        <v>735</v>
      </c>
      <c r="B194" s="6" t="s">
        <v>532</v>
      </c>
      <c r="C194" s="74" t="s">
        <v>55</v>
      </c>
      <c r="D194" s="75" t="s">
        <v>116</v>
      </c>
      <c r="E194" s="7" t="s">
        <v>1098</v>
      </c>
      <c r="F194" s="76" t="s">
        <v>88</v>
      </c>
      <c r="G194" s="72" t="s">
        <v>38</v>
      </c>
      <c r="H194" s="34">
        <v>1</v>
      </c>
      <c r="I194" s="71" t="s">
        <v>357</v>
      </c>
      <c r="J194" s="32">
        <v>3</v>
      </c>
      <c r="K194" s="33">
        <f>VLOOKUP(E194,照明設備稼働時間!$A$4:$F$72,5,FALSE)</f>
        <v>1854</v>
      </c>
      <c r="L194" s="33" t="str">
        <f t="shared" si="4"/>
        <v>FL40W1トラフ</v>
      </c>
      <c r="M194" s="33">
        <f>VLOOKUP(L194,照明器具一覧!$B$4:$F$155,5,FALSE)</f>
        <v>47</v>
      </c>
      <c r="N194" s="7">
        <v>1</v>
      </c>
      <c r="O194" s="82">
        <f t="shared" si="5"/>
        <v>261.41399999999999</v>
      </c>
    </row>
    <row r="195" spans="1:15">
      <c r="A195" s="7" t="s">
        <v>736</v>
      </c>
      <c r="B195" s="6" t="s">
        <v>532</v>
      </c>
      <c r="C195" s="74" t="s">
        <v>55</v>
      </c>
      <c r="D195" s="75" t="s">
        <v>116</v>
      </c>
      <c r="E195" s="7" t="s">
        <v>1098</v>
      </c>
      <c r="F195" s="76" t="s">
        <v>87</v>
      </c>
      <c r="G195" s="72" t="s">
        <v>38</v>
      </c>
      <c r="H195" s="34">
        <v>1</v>
      </c>
      <c r="I195" s="71" t="s">
        <v>357</v>
      </c>
      <c r="J195" s="32">
        <v>2</v>
      </c>
      <c r="K195" s="33">
        <f>VLOOKUP(E195,照明設備稼働時間!$A$4:$F$72,5,FALSE)</f>
        <v>1854</v>
      </c>
      <c r="L195" s="33" t="str">
        <f t="shared" si="4"/>
        <v>FL40W1トラフ</v>
      </c>
      <c r="M195" s="33">
        <f>VLOOKUP(L195,照明器具一覧!$B$4:$F$155,5,FALSE)</f>
        <v>47</v>
      </c>
      <c r="N195" s="7">
        <v>1</v>
      </c>
      <c r="O195" s="82">
        <f t="shared" si="5"/>
        <v>174.27600000000001</v>
      </c>
    </row>
    <row r="196" spans="1:15">
      <c r="A196" s="7" t="s">
        <v>737</v>
      </c>
      <c r="B196" s="6" t="s">
        <v>532</v>
      </c>
      <c r="C196" s="74" t="s">
        <v>50</v>
      </c>
      <c r="D196" s="75" t="s">
        <v>116</v>
      </c>
      <c r="E196" s="7" t="s">
        <v>1098</v>
      </c>
      <c r="F196" s="76" t="s">
        <v>87</v>
      </c>
      <c r="G196" s="72" t="s">
        <v>38</v>
      </c>
      <c r="H196" s="34">
        <v>1</v>
      </c>
      <c r="I196" s="71" t="s">
        <v>371</v>
      </c>
      <c r="J196" s="32">
        <v>1</v>
      </c>
      <c r="K196" s="33">
        <f>VLOOKUP(E196,照明設備稼働時間!$A$4:$F$72,5,FALSE)</f>
        <v>1854</v>
      </c>
      <c r="L196" s="33" t="str">
        <f t="shared" ref="L196:L259" si="6">G196&amp;H196&amp;I196</f>
        <v>FL40W1埋込W220</v>
      </c>
      <c r="M196" s="33">
        <f>VLOOKUP(L196,照明器具一覧!$B$4:$F$155,5,FALSE)</f>
        <v>47</v>
      </c>
      <c r="N196" s="7">
        <v>1</v>
      </c>
      <c r="O196" s="82">
        <f t="shared" ref="O196:O259" si="7">(J196*K196*M196*N196)/1000</f>
        <v>87.138000000000005</v>
      </c>
    </row>
    <row r="197" spans="1:15">
      <c r="A197" s="7" t="s">
        <v>738</v>
      </c>
      <c r="B197" s="6" t="s">
        <v>532</v>
      </c>
      <c r="C197" s="74" t="s">
        <v>45</v>
      </c>
      <c r="D197" s="75" t="s">
        <v>116</v>
      </c>
      <c r="E197" s="7" t="s">
        <v>1098</v>
      </c>
      <c r="F197" s="76" t="s">
        <v>87</v>
      </c>
      <c r="G197" s="72" t="s">
        <v>340</v>
      </c>
      <c r="H197" s="34">
        <v>1</v>
      </c>
      <c r="I197" s="71" t="s">
        <v>367</v>
      </c>
      <c r="J197" s="32">
        <v>2</v>
      </c>
      <c r="K197" s="33">
        <f>VLOOKUP(E197,照明設備稼働時間!$A$4:$F$72,5,FALSE)</f>
        <v>1854</v>
      </c>
      <c r="L197" s="33" t="str">
        <f t="shared" si="6"/>
        <v>FDL18W1ダウンライト　φ150</v>
      </c>
      <c r="M197" s="33">
        <f>VLOOKUP(L197,照明器具一覧!$B$4:$F$155,5,FALSE)</f>
        <v>22</v>
      </c>
      <c r="N197" s="7">
        <v>1</v>
      </c>
      <c r="O197" s="82">
        <f t="shared" si="7"/>
        <v>81.575999999999993</v>
      </c>
    </row>
    <row r="198" spans="1:15">
      <c r="A198" s="7" t="s">
        <v>739</v>
      </c>
      <c r="B198" s="6" t="s">
        <v>532</v>
      </c>
      <c r="C198" s="74" t="s">
        <v>46</v>
      </c>
      <c r="D198" s="75" t="s">
        <v>116</v>
      </c>
      <c r="E198" s="7" t="s">
        <v>1104</v>
      </c>
      <c r="F198" s="76" t="s">
        <v>94</v>
      </c>
      <c r="G198" s="72" t="s">
        <v>38</v>
      </c>
      <c r="H198" s="34">
        <v>2</v>
      </c>
      <c r="I198" s="71" t="s">
        <v>359</v>
      </c>
      <c r="J198" s="32">
        <v>14</v>
      </c>
      <c r="K198" s="33">
        <f>VLOOKUP(E198,照明設備稼働時間!$A$4:$F$72,5,FALSE)</f>
        <v>309</v>
      </c>
      <c r="L198" s="33" t="str">
        <f t="shared" si="6"/>
        <v>FL40W2埋込W300</v>
      </c>
      <c r="M198" s="33">
        <f>VLOOKUP(L198,照明器具一覧!$B$4:$F$155,5,FALSE)</f>
        <v>94</v>
      </c>
      <c r="N198" s="7">
        <v>1</v>
      </c>
      <c r="O198" s="82">
        <f t="shared" si="7"/>
        <v>406.64400000000001</v>
      </c>
    </row>
    <row r="199" spans="1:15">
      <c r="A199" s="7" t="s">
        <v>740</v>
      </c>
      <c r="B199" s="6" t="s">
        <v>532</v>
      </c>
      <c r="C199" s="74" t="s">
        <v>68</v>
      </c>
      <c r="D199" s="75" t="s">
        <v>116</v>
      </c>
      <c r="E199" s="7" t="s">
        <v>1104</v>
      </c>
      <c r="F199" s="76" t="s">
        <v>94</v>
      </c>
      <c r="G199" s="72" t="s">
        <v>39</v>
      </c>
      <c r="H199" s="34">
        <v>2</v>
      </c>
      <c r="I199" s="71" t="s">
        <v>393</v>
      </c>
      <c r="J199" s="32">
        <v>2</v>
      </c>
      <c r="K199" s="33">
        <f>VLOOKUP(E199,照明設備稼働時間!$A$4:$F$72,5,FALSE)</f>
        <v>309</v>
      </c>
      <c r="L199" s="33" t="str">
        <f t="shared" si="6"/>
        <v>FL40SW ＋PIL100V40WS35E172埋込W300　非常照明　電源別置</v>
      </c>
      <c r="M199" s="33">
        <f>VLOOKUP(L199,照明器具一覧!$B$4:$F$155,5,FALSE)</f>
        <v>94</v>
      </c>
      <c r="N199" s="7">
        <v>1</v>
      </c>
      <c r="O199" s="82">
        <f t="shared" si="7"/>
        <v>58.091999999999999</v>
      </c>
    </row>
    <row r="200" spans="1:15">
      <c r="A200" s="7" t="s">
        <v>741</v>
      </c>
      <c r="B200" s="6" t="s">
        <v>532</v>
      </c>
      <c r="C200" s="74" t="s">
        <v>55</v>
      </c>
      <c r="D200" s="75" t="s">
        <v>116</v>
      </c>
      <c r="E200" s="7" t="s">
        <v>1104</v>
      </c>
      <c r="F200" s="76" t="s">
        <v>94</v>
      </c>
      <c r="G200" s="72" t="s">
        <v>38</v>
      </c>
      <c r="H200" s="34">
        <v>1</v>
      </c>
      <c r="I200" s="71" t="s">
        <v>357</v>
      </c>
      <c r="J200" s="32">
        <v>96</v>
      </c>
      <c r="K200" s="33">
        <f>VLOOKUP(E200,照明設備稼働時間!$A$4:$F$72,5,FALSE)</f>
        <v>309</v>
      </c>
      <c r="L200" s="33" t="str">
        <f t="shared" si="6"/>
        <v>FL40W1トラフ</v>
      </c>
      <c r="M200" s="33">
        <f>VLOOKUP(L200,照明器具一覧!$B$4:$F$155,5,FALSE)</f>
        <v>47</v>
      </c>
      <c r="N200" s="7">
        <v>1</v>
      </c>
      <c r="O200" s="82">
        <f t="shared" si="7"/>
        <v>1394.2080000000001</v>
      </c>
    </row>
    <row r="201" spans="1:15">
      <c r="A201" s="7" t="s">
        <v>742</v>
      </c>
      <c r="B201" s="6" t="s">
        <v>532</v>
      </c>
      <c r="C201" s="74" t="s">
        <v>46</v>
      </c>
      <c r="D201" s="75" t="s">
        <v>116</v>
      </c>
      <c r="E201" s="7" t="s">
        <v>1064</v>
      </c>
      <c r="F201" s="76" t="s">
        <v>101</v>
      </c>
      <c r="G201" s="72" t="s">
        <v>38</v>
      </c>
      <c r="H201" s="34">
        <v>2</v>
      </c>
      <c r="I201" s="71" t="s">
        <v>359</v>
      </c>
      <c r="J201" s="32">
        <v>4</v>
      </c>
      <c r="K201" s="33">
        <f>VLOOKUP(E201,照明設備稼働時間!$A$4:$F$72,5,FALSE)</f>
        <v>2187</v>
      </c>
      <c r="L201" s="33" t="str">
        <f t="shared" si="6"/>
        <v>FL40W2埋込W300</v>
      </c>
      <c r="M201" s="33">
        <f>VLOOKUP(L201,照明器具一覧!$B$4:$F$155,5,FALSE)</f>
        <v>94</v>
      </c>
      <c r="N201" s="7">
        <v>1</v>
      </c>
      <c r="O201" s="82">
        <f t="shared" si="7"/>
        <v>822.31200000000001</v>
      </c>
    </row>
    <row r="202" spans="1:15">
      <c r="A202" s="7" t="s">
        <v>743</v>
      </c>
      <c r="B202" s="6" t="s">
        <v>532</v>
      </c>
      <c r="C202" s="74" t="s">
        <v>68</v>
      </c>
      <c r="D202" s="75" t="s">
        <v>116</v>
      </c>
      <c r="E202" s="7" t="s">
        <v>1064</v>
      </c>
      <c r="F202" s="76" t="s">
        <v>101</v>
      </c>
      <c r="G202" s="72" t="s">
        <v>39</v>
      </c>
      <c r="H202" s="34">
        <v>2</v>
      </c>
      <c r="I202" s="71" t="s">
        <v>393</v>
      </c>
      <c r="J202" s="32">
        <v>2</v>
      </c>
      <c r="K202" s="33">
        <f>VLOOKUP(E202,照明設備稼働時間!$A$4:$F$72,5,FALSE)</f>
        <v>2187</v>
      </c>
      <c r="L202" s="33" t="str">
        <f t="shared" si="6"/>
        <v>FL40SW ＋PIL100V40WS35E172埋込W300　非常照明　電源別置</v>
      </c>
      <c r="M202" s="33">
        <f>VLOOKUP(L202,照明器具一覧!$B$4:$F$155,5,FALSE)</f>
        <v>94</v>
      </c>
      <c r="N202" s="7">
        <v>1</v>
      </c>
      <c r="O202" s="82">
        <f t="shared" si="7"/>
        <v>411.15600000000001</v>
      </c>
    </row>
    <row r="203" spans="1:15">
      <c r="A203" s="7" t="s">
        <v>744</v>
      </c>
      <c r="B203" s="6" t="s">
        <v>532</v>
      </c>
      <c r="C203" s="74" t="s">
        <v>46</v>
      </c>
      <c r="D203" s="75" t="s">
        <v>116</v>
      </c>
      <c r="E203" s="7" t="s">
        <v>1064</v>
      </c>
      <c r="F203" s="76" t="s">
        <v>137</v>
      </c>
      <c r="G203" s="72" t="s">
        <v>38</v>
      </c>
      <c r="H203" s="34">
        <v>2</v>
      </c>
      <c r="I203" s="71" t="s">
        <v>359</v>
      </c>
      <c r="J203" s="32">
        <v>25</v>
      </c>
      <c r="K203" s="33">
        <f>VLOOKUP(E204,照明設備稼働時間!$A$4:$F$72,5,FALSE)</f>
        <v>2187</v>
      </c>
      <c r="L203" s="33" t="str">
        <f t="shared" si="6"/>
        <v>FL40W2埋込W300</v>
      </c>
      <c r="M203" s="33">
        <f>VLOOKUP(L203,照明器具一覧!$B$4:$F$155,5,FALSE)</f>
        <v>94</v>
      </c>
      <c r="N203" s="7">
        <v>1</v>
      </c>
      <c r="O203" s="82">
        <f t="shared" si="7"/>
        <v>5139.45</v>
      </c>
    </row>
    <row r="204" spans="1:15">
      <c r="A204" s="7" t="s">
        <v>745</v>
      </c>
      <c r="B204" s="6" t="s">
        <v>532</v>
      </c>
      <c r="C204" s="74" t="s">
        <v>68</v>
      </c>
      <c r="D204" s="75" t="s">
        <v>116</v>
      </c>
      <c r="E204" s="7" t="s">
        <v>1064</v>
      </c>
      <c r="F204" s="76" t="s">
        <v>137</v>
      </c>
      <c r="G204" s="72" t="s">
        <v>39</v>
      </c>
      <c r="H204" s="34">
        <v>2</v>
      </c>
      <c r="I204" s="71" t="s">
        <v>393</v>
      </c>
      <c r="J204" s="32">
        <v>5</v>
      </c>
      <c r="K204" s="33">
        <f>VLOOKUP(E205,照明設備稼働時間!$A$4:$F$72,5,FALSE)</f>
        <v>2187</v>
      </c>
      <c r="L204" s="33" t="str">
        <f t="shared" si="6"/>
        <v>FL40SW ＋PIL100V40WS35E172埋込W300　非常照明　電源別置</v>
      </c>
      <c r="M204" s="33">
        <f>VLOOKUP(L204,照明器具一覧!$B$4:$F$155,5,FALSE)</f>
        <v>94</v>
      </c>
      <c r="N204" s="7">
        <v>1</v>
      </c>
      <c r="O204" s="82">
        <f t="shared" si="7"/>
        <v>1027.8900000000001</v>
      </c>
    </row>
    <row r="205" spans="1:15">
      <c r="A205" s="7" t="s">
        <v>746</v>
      </c>
      <c r="B205" s="6" t="s">
        <v>532</v>
      </c>
      <c r="C205" s="74" t="s">
        <v>73</v>
      </c>
      <c r="D205" s="75" t="s">
        <v>116</v>
      </c>
      <c r="E205" s="7" t="s">
        <v>1064</v>
      </c>
      <c r="F205" s="76" t="s">
        <v>137</v>
      </c>
      <c r="G205" s="72" t="s">
        <v>38</v>
      </c>
      <c r="H205" s="34">
        <v>1</v>
      </c>
      <c r="I205" s="71" t="s">
        <v>356</v>
      </c>
      <c r="J205" s="32">
        <v>2</v>
      </c>
      <c r="K205" s="33">
        <f>VLOOKUP(E205,照明設備稼働時間!$A$4:$F$72,5,FALSE)</f>
        <v>2187</v>
      </c>
      <c r="L205" s="33" t="str">
        <f t="shared" si="6"/>
        <v>FL40W1逆富士</v>
      </c>
      <c r="M205" s="33">
        <f>VLOOKUP(L205,照明器具一覧!$B$4:$F$155,5,FALSE)</f>
        <v>47</v>
      </c>
      <c r="N205" s="7">
        <v>1</v>
      </c>
      <c r="O205" s="82">
        <f t="shared" si="7"/>
        <v>205.578</v>
      </c>
    </row>
    <row r="206" spans="1:15">
      <c r="A206" s="7" t="s">
        <v>747</v>
      </c>
      <c r="B206" s="6" t="s">
        <v>532</v>
      </c>
      <c r="C206" s="74" t="s">
        <v>46</v>
      </c>
      <c r="D206" s="75" t="s">
        <v>116</v>
      </c>
      <c r="E206" s="7" t="s">
        <v>1057</v>
      </c>
      <c r="F206" s="76" t="s">
        <v>138</v>
      </c>
      <c r="G206" s="72" t="s">
        <v>38</v>
      </c>
      <c r="H206" s="34">
        <v>2</v>
      </c>
      <c r="I206" s="71" t="s">
        <v>359</v>
      </c>
      <c r="J206" s="32">
        <v>3</v>
      </c>
      <c r="K206" s="33">
        <f>VLOOKUP(E206,照明設備稼働時間!$A$4:$F$72,5,FALSE)</f>
        <v>2472</v>
      </c>
      <c r="L206" s="33" t="str">
        <f t="shared" si="6"/>
        <v>FL40W2埋込W300</v>
      </c>
      <c r="M206" s="33">
        <f>VLOOKUP(L206,照明器具一覧!$B$4:$F$155,5,FALSE)</f>
        <v>94</v>
      </c>
      <c r="N206" s="7">
        <v>1</v>
      </c>
      <c r="O206" s="82">
        <f t="shared" si="7"/>
        <v>697.10400000000004</v>
      </c>
    </row>
    <row r="207" spans="1:15">
      <c r="A207" s="7" t="s">
        <v>748</v>
      </c>
      <c r="B207" s="6" t="s">
        <v>532</v>
      </c>
      <c r="C207" s="74" t="s">
        <v>46</v>
      </c>
      <c r="D207" s="75" t="s">
        <v>116</v>
      </c>
      <c r="E207" s="7" t="s">
        <v>1060</v>
      </c>
      <c r="F207" s="76" t="s">
        <v>139</v>
      </c>
      <c r="G207" s="72" t="s">
        <v>38</v>
      </c>
      <c r="H207" s="34">
        <v>2</v>
      </c>
      <c r="I207" s="71" t="s">
        <v>359</v>
      </c>
      <c r="J207" s="32">
        <v>3</v>
      </c>
      <c r="K207" s="33">
        <f>VLOOKUP(E207,照明設備稼働時間!$A$4:$F$72,5,FALSE)</f>
        <v>2781</v>
      </c>
      <c r="L207" s="33" t="str">
        <f t="shared" si="6"/>
        <v>FL40W2埋込W300</v>
      </c>
      <c r="M207" s="33">
        <f>VLOOKUP(L207,照明器具一覧!$B$4:$F$155,5,FALSE)</f>
        <v>94</v>
      </c>
      <c r="N207" s="7">
        <v>1</v>
      </c>
      <c r="O207" s="82">
        <f t="shared" si="7"/>
        <v>784.24199999999996</v>
      </c>
    </row>
    <row r="208" spans="1:15">
      <c r="A208" s="7" t="s">
        <v>749</v>
      </c>
      <c r="B208" s="6" t="s">
        <v>532</v>
      </c>
      <c r="C208" s="74" t="s">
        <v>72</v>
      </c>
      <c r="D208" s="75" t="s">
        <v>116</v>
      </c>
      <c r="E208" s="7" t="s">
        <v>325</v>
      </c>
      <c r="F208" s="76" t="s">
        <v>140</v>
      </c>
      <c r="G208" s="72" t="s">
        <v>450</v>
      </c>
      <c r="H208" s="34">
        <v>1</v>
      </c>
      <c r="I208" s="71" t="s">
        <v>392</v>
      </c>
      <c r="J208" s="32">
        <v>4</v>
      </c>
      <c r="K208" s="33">
        <f>VLOOKUP(E208,照明設備稼働時間!$A$4:$F$72,5,FALSE)</f>
        <v>0</v>
      </c>
      <c r="L208" s="33" t="str">
        <f t="shared" si="6"/>
        <v>HF70W1ダウンライト　φ200</v>
      </c>
      <c r="M208" s="33">
        <f>VLOOKUP(L208,照明器具一覧!$B$4:$F$155,5,FALSE)</f>
        <v>77</v>
      </c>
      <c r="N208" s="7">
        <v>1</v>
      </c>
      <c r="O208" s="82">
        <f t="shared" si="7"/>
        <v>0</v>
      </c>
    </row>
    <row r="209" spans="1:15">
      <c r="A209" s="7" t="s">
        <v>750</v>
      </c>
      <c r="B209" s="6" t="s">
        <v>532</v>
      </c>
      <c r="C209" s="74" t="s">
        <v>126</v>
      </c>
      <c r="D209" s="75" t="s">
        <v>116</v>
      </c>
      <c r="E209" s="7" t="s">
        <v>1105</v>
      </c>
      <c r="F209" s="76" t="s">
        <v>141</v>
      </c>
      <c r="G209" s="72" t="s">
        <v>38</v>
      </c>
      <c r="H209" s="34">
        <v>4</v>
      </c>
      <c r="I209" s="71" t="s">
        <v>404</v>
      </c>
      <c r="J209" s="32">
        <v>1</v>
      </c>
      <c r="K209" s="33">
        <f>VLOOKUP(E209,照明設備稼働時間!$A$4:$F$72,5,FALSE)</f>
        <v>2781</v>
      </c>
      <c r="L209" s="33" t="str">
        <f t="shared" si="6"/>
        <v>FL40W4埋込W600</v>
      </c>
      <c r="M209" s="33">
        <f>VLOOKUP(L209,照明器具一覧!$B$4:$F$155,5,FALSE)</f>
        <v>188</v>
      </c>
      <c r="N209" s="7">
        <v>1</v>
      </c>
      <c r="O209" s="82">
        <f t="shared" si="7"/>
        <v>522.82799999999997</v>
      </c>
    </row>
    <row r="210" spans="1:15">
      <c r="A210" s="7" t="s">
        <v>751</v>
      </c>
      <c r="B210" s="6" t="s">
        <v>532</v>
      </c>
      <c r="C210" s="74" t="s">
        <v>127</v>
      </c>
      <c r="D210" s="75" t="s">
        <v>116</v>
      </c>
      <c r="E210" s="7" t="s">
        <v>1105</v>
      </c>
      <c r="F210" s="76" t="s">
        <v>141</v>
      </c>
      <c r="G210" s="72" t="s">
        <v>38</v>
      </c>
      <c r="H210" s="34">
        <v>4</v>
      </c>
      <c r="I210" s="71" t="s">
        <v>405</v>
      </c>
      <c r="J210" s="32">
        <v>1</v>
      </c>
      <c r="K210" s="33">
        <f>VLOOKUP(E210,照明設備稼働時間!$A$4:$F$72,5,FALSE)</f>
        <v>2781</v>
      </c>
      <c r="L210" s="33" t="str">
        <f t="shared" si="6"/>
        <v>FL40W4埋込W600　非常照明　電源別置</v>
      </c>
      <c r="M210" s="33">
        <f>VLOOKUP(L210,照明器具一覧!$B$4:$F$155,5,FALSE)</f>
        <v>188</v>
      </c>
      <c r="N210" s="7">
        <v>1</v>
      </c>
      <c r="O210" s="82">
        <f t="shared" si="7"/>
        <v>522.82799999999997</v>
      </c>
    </row>
    <row r="211" spans="1:15">
      <c r="A211" s="7" t="s">
        <v>752</v>
      </c>
      <c r="B211" s="6" t="s">
        <v>532</v>
      </c>
      <c r="C211" s="74" t="s">
        <v>46</v>
      </c>
      <c r="D211" s="75" t="s">
        <v>116</v>
      </c>
      <c r="E211" s="7" t="s">
        <v>1105</v>
      </c>
      <c r="F211" s="76" t="s">
        <v>276</v>
      </c>
      <c r="G211" s="72" t="s">
        <v>38</v>
      </c>
      <c r="H211" s="34">
        <v>2</v>
      </c>
      <c r="I211" s="71" t="s">
        <v>359</v>
      </c>
      <c r="J211" s="32">
        <v>3</v>
      </c>
      <c r="K211" s="33">
        <f>VLOOKUP(E211,照明設備稼働時間!$A$4:$F$72,5,FALSE)</f>
        <v>2781</v>
      </c>
      <c r="L211" s="33" t="str">
        <f t="shared" si="6"/>
        <v>FL40W2埋込W300</v>
      </c>
      <c r="M211" s="33">
        <f>VLOOKUP(L211,照明器具一覧!$B$4:$F$155,5,FALSE)</f>
        <v>94</v>
      </c>
      <c r="N211" s="7">
        <v>1</v>
      </c>
      <c r="O211" s="82">
        <f t="shared" si="7"/>
        <v>784.24199999999996</v>
      </c>
    </row>
    <row r="212" spans="1:15">
      <c r="A212" s="7" t="s">
        <v>753</v>
      </c>
      <c r="B212" s="6" t="s">
        <v>532</v>
      </c>
      <c r="C212" s="74" t="s">
        <v>277</v>
      </c>
      <c r="D212" s="75" t="s">
        <v>116</v>
      </c>
      <c r="E212" s="7" t="s">
        <v>1105</v>
      </c>
      <c r="F212" s="76" t="s">
        <v>276</v>
      </c>
      <c r="G212" s="72" t="s">
        <v>38</v>
      </c>
      <c r="H212" s="34">
        <v>1</v>
      </c>
      <c r="I212" s="71" t="s">
        <v>371</v>
      </c>
      <c r="J212" s="32">
        <v>1</v>
      </c>
      <c r="K212" s="33">
        <f>VLOOKUP(E212,照明設備稼働時間!$A$4:$F$72,5,FALSE)</f>
        <v>2781</v>
      </c>
      <c r="L212" s="33" t="str">
        <f t="shared" si="6"/>
        <v>FL40W1埋込W220</v>
      </c>
      <c r="M212" s="33">
        <f>VLOOKUP(L212,照明器具一覧!$B$4:$F$155,5,FALSE)</f>
        <v>47</v>
      </c>
      <c r="N212" s="7">
        <v>1</v>
      </c>
      <c r="O212" s="82">
        <f t="shared" si="7"/>
        <v>130.70699999999999</v>
      </c>
    </row>
    <row r="213" spans="1:15">
      <c r="A213" s="7" t="s">
        <v>754</v>
      </c>
      <c r="B213" s="6" t="s">
        <v>532</v>
      </c>
      <c r="C213" s="74" t="s">
        <v>68</v>
      </c>
      <c r="D213" s="75" t="s">
        <v>116</v>
      </c>
      <c r="E213" s="7" t="s">
        <v>1105</v>
      </c>
      <c r="F213" s="76" t="s">
        <v>276</v>
      </c>
      <c r="G213" s="72" t="s">
        <v>39</v>
      </c>
      <c r="H213" s="34">
        <v>2</v>
      </c>
      <c r="I213" s="71" t="s">
        <v>393</v>
      </c>
      <c r="J213" s="32">
        <v>1</v>
      </c>
      <c r="K213" s="33">
        <f>VLOOKUP(E213,照明設備稼働時間!$A$4:$F$72,5,FALSE)</f>
        <v>2781</v>
      </c>
      <c r="L213" s="33" t="str">
        <f t="shared" si="6"/>
        <v>FL40SW ＋PIL100V40WS35E172埋込W300　非常照明　電源別置</v>
      </c>
      <c r="M213" s="33">
        <f>VLOOKUP(L213,照明器具一覧!$B$4:$F$155,5,FALSE)</f>
        <v>94</v>
      </c>
      <c r="N213" s="7">
        <v>1</v>
      </c>
      <c r="O213" s="82">
        <f t="shared" si="7"/>
        <v>261.41399999999999</v>
      </c>
    </row>
    <row r="214" spans="1:15">
      <c r="A214" s="7" t="s">
        <v>755</v>
      </c>
      <c r="B214" s="6" t="s">
        <v>532</v>
      </c>
      <c r="C214" s="74" t="s">
        <v>46</v>
      </c>
      <c r="D214" s="75" t="s">
        <v>116</v>
      </c>
      <c r="E214" s="7" t="s">
        <v>1105</v>
      </c>
      <c r="F214" s="76" t="s">
        <v>276</v>
      </c>
      <c r="G214" s="72" t="s">
        <v>38</v>
      </c>
      <c r="H214" s="34">
        <v>2</v>
      </c>
      <c r="I214" s="71" t="s">
        <v>359</v>
      </c>
      <c r="J214" s="32">
        <v>5</v>
      </c>
      <c r="K214" s="33">
        <f>VLOOKUP(E214,照明設備稼働時間!$A$4:$F$72,5,FALSE)</f>
        <v>2781</v>
      </c>
      <c r="L214" s="33" t="str">
        <f t="shared" si="6"/>
        <v>FL40W2埋込W300</v>
      </c>
      <c r="M214" s="33">
        <f>VLOOKUP(L214,照明器具一覧!$B$4:$F$155,5,FALSE)</f>
        <v>94</v>
      </c>
      <c r="N214" s="7">
        <v>1</v>
      </c>
      <c r="O214" s="82">
        <f t="shared" si="7"/>
        <v>1307.07</v>
      </c>
    </row>
    <row r="215" spans="1:15">
      <c r="A215" s="7" t="s">
        <v>756</v>
      </c>
      <c r="B215" s="6" t="s">
        <v>532</v>
      </c>
      <c r="C215" s="74" t="s">
        <v>46</v>
      </c>
      <c r="D215" s="75" t="s">
        <v>116</v>
      </c>
      <c r="E215" s="7" t="s">
        <v>278</v>
      </c>
      <c r="F215" s="76" t="s">
        <v>278</v>
      </c>
      <c r="G215" s="72" t="s">
        <v>38</v>
      </c>
      <c r="H215" s="34">
        <v>2</v>
      </c>
      <c r="I215" s="71" t="s">
        <v>359</v>
      </c>
      <c r="J215" s="32">
        <v>4</v>
      </c>
      <c r="K215" s="33">
        <f>VLOOKUP(E215,照明設備稼働時間!$A$4:$F$72,5,FALSE)</f>
        <v>2187</v>
      </c>
      <c r="L215" s="33" t="str">
        <f t="shared" si="6"/>
        <v>FL40W2埋込W300</v>
      </c>
      <c r="M215" s="33">
        <f>VLOOKUP(L215,照明器具一覧!$B$4:$F$155,5,FALSE)</f>
        <v>94</v>
      </c>
      <c r="N215" s="7">
        <v>1</v>
      </c>
      <c r="O215" s="82">
        <f t="shared" si="7"/>
        <v>822.31200000000001</v>
      </c>
    </row>
    <row r="216" spans="1:15">
      <c r="A216" s="7" t="s">
        <v>757</v>
      </c>
      <c r="B216" s="6" t="s">
        <v>532</v>
      </c>
      <c r="C216" s="74" t="s">
        <v>68</v>
      </c>
      <c r="D216" s="75" t="s">
        <v>116</v>
      </c>
      <c r="E216" s="7" t="s">
        <v>278</v>
      </c>
      <c r="F216" s="76" t="s">
        <v>278</v>
      </c>
      <c r="G216" s="72" t="s">
        <v>39</v>
      </c>
      <c r="H216" s="34">
        <v>2</v>
      </c>
      <c r="I216" s="71" t="s">
        <v>393</v>
      </c>
      <c r="J216" s="32">
        <v>2</v>
      </c>
      <c r="K216" s="33">
        <f>VLOOKUP(E216,照明設備稼働時間!$A$4:$F$72,5,FALSE)</f>
        <v>2187</v>
      </c>
      <c r="L216" s="33" t="str">
        <f t="shared" si="6"/>
        <v>FL40SW ＋PIL100V40WS35E172埋込W300　非常照明　電源別置</v>
      </c>
      <c r="M216" s="33">
        <f>VLOOKUP(L216,照明器具一覧!$B$4:$F$155,5,FALSE)</f>
        <v>94</v>
      </c>
      <c r="N216" s="7">
        <v>1</v>
      </c>
      <c r="O216" s="82">
        <f t="shared" si="7"/>
        <v>411.15600000000001</v>
      </c>
    </row>
    <row r="217" spans="1:15">
      <c r="A217" s="7" t="s">
        <v>758</v>
      </c>
      <c r="B217" s="6" t="s">
        <v>532</v>
      </c>
      <c r="C217" s="74" t="s">
        <v>46</v>
      </c>
      <c r="D217" s="75" t="s">
        <v>116</v>
      </c>
      <c r="E217" s="7" t="s">
        <v>1062</v>
      </c>
      <c r="F217" s="76" t="s">
        <v>142</v>
      </c>
      <c r="G217" s="72" t="s">
        <v>38</v>
      </c>
      <c r="H217" s="34">
        <v>2</v>
      </c>
      <c r="I217" s="71" t="s">
        <v>359</v>
      </c>
      <c r="J217" s="32">
        <v>7</v>
      </c>
      <c r="K217" s="33">
        <f>VLOOKUP(E217,照明設備稼働時間!$A$4:$F$72,5,FALSE)</f>
        <v>1944</v>
      </c>
      <c r="L217" s="33" t="str">
        <f t="shared" si="6"/>
        <v>FL40W2埋込W300</v>
      </c>
      <c r="M217" s="33">
        <f>VLOOKUP(L217,照明器具一覧!$B$4:$F$155,5,FALSE)</f>
        <v>94</v>
      </c>
      <c r="N217" s="7">
        <v>1</v>
      </c>
      <c r="O217" s="82">
        <f t="shared" si="7"/>
        <v>1279.152</v>
      </c>
    </row>
    <row r="218" spans="1:15">
      <c r="A218" s="7" t="s">
        <v>759</v>
      </c>
      <c r="B218" s="6" t="s">
        <v>532</v>
      </c>
      <c r="C218" s="74" t="s">
        <v>68</v>
      </c>
      <c r="D218" s="75" t="s">
        <v>116</v>
      </c>
      <c r="E218" s="7" t="s">
        <v>1062</v>
      </c>
      <c r="F218" s="76" t="s">
        <v>142</v>
      </c>
      <c r="G218" s="72" t="s">
        <v>39</v>
      </c>
      <c r="H218" s="34">
        <v>2</v>
      </c>
      <c r="I218" s="71" t="s">
        <v>393</v>
      </c>
      <c r="J218" s="32">
        <v>2</v>
      </c>
      <c r="K218" s="33">
        <f>VLOOKUP(E218,照明設備稼働時間!$A$4:$F$72,5,FALSE)</f>
        <v>1944</v>
      </c>
      <c r="L218" s="33" t="str">
        <f t="shared" si="6"/>
        <v>FL40SW ＋PIL100V40WS35E172埋込W300　非常照明　電源別置</v>
      </c>
      <c r="M218" s="33">
        <f>VLOOKUP(L218,照明器具一覧!$B$4:$F$155,5,FALSE)</f>
        <v>94</v>
      </c>
      <c r="N218" s="7">
        <v>1</v>
      </c>
      <c r="O218" s="82">
        <f t="shared" si="7"/>
        <v>365.47199999999998</v>
      </c>
    </row>
    <row r="219" spans="1:15">
      <c r="A219" s="7" t="s">
        <v>760</v>
      </c>
      <c r="B219" s="6" t="s">
        <v>532</v>
      </c>
      <c r="C219" s="74" t="s">
        <v>73</v>
      </c>
      <c r="D219" s="75" t="s">
        <v>116</v>
      </c>
      <c r="E219" s="7" t="s">
        <v>513</v>
      </c>
      <c r="F219" s="76" t="s">
        <v>143</v>
      </c>
      <c r="G219" s="72" t="s">
        <v>38</v>
      </c>
      <c r="H219" s="34">
        <v>1</v>
      </c>
      <c r="I219" s="71" t="s">
        <v>401</v>
      </c>
      <c r="J219" s="32">
        <v>1</v>
      </c>
      <c r="K219" s="33">
        <f>VLOOKUP(E219,照明設備稼働時間!$A$4:$F$72,5,FALSE)</f>
        <v>309</v>
      </c>
      <c r="L219" s="33" t="str">
        <f t="shared" si="6"/>
        <v>FL40W1逆富士</v>
      </c>
      <c r="M219" s="33">
        <f>VLOOKUP(L219,照明器具一覧!$B$4:$F$155,5,FALSE)</f>
        <v>47</v>
      </c>
      <c r="N219" s="7">
        <v>1</v>
      </c>
      <c r="O219" s="82">
        <f t="shared" si="7"/>
        <v>14.523</v>
      </c>
    </row>
    <row r="220" spans="1:15">
      <c r="A220" s="7" t="s">
        <v>761</v>
      </c>
      <c r="B220" s="6" t="s">
        <v>532</v>
      </c>
      <c r="C220" s="74" t="s">
        <v>48</v>
      </c>
      <c r="D220" s="75" t="s">
        <v>116</v>
      </c>
      <c r="E220" s="7" t="s">
        <v>1061</v>
      </c>
      <c r="F220" s="76" t="s">
        <v>144</v>
      </c>
      <c r="G220" s="72" t="s">
        <v>38</v>
      </c>
      <c r="H220" s="34">
        <v>2</v>
      </c>
      <c r="I220" s="71" t="s">
        <v>406</v>
      </c>
      <c r="J220" s="32">
        <v>4</v>
      </c>
      <c r="K220" s="33">
        <f>VLOOKUP(E220,照明設備稼働時間!$A$4:$F$72,5,FALSE)</f>
        <v>1944</v>
      </c>
      <c r="L220" s="33" t="str">
        <f t="shared" si="6"/>
        <v>FL40W2ブラケット　WP</v>
      </c>
      <c r="M220" s="33">
        <f>VLOOKUP(L220,照明器具一覧!$B$4:$F$155,5,FALSE)</f>
        <v>94</v>
      </c>
      <c r="N220" s="7">
        <v>1</v>
      </c>
      <c r="O220" s="82">
        <f t="shared" si="7"/>
        <v>730.94399999999996</v>
      </c>
    </row>
    <row r="221" spans="1:15">
      <c r="A221" s="7" t="s">
        <v>762</v>
      </c>
      <c r="B221" s="6" t="s">
        <v>532</v>
      </c>
      <c r="C221" s="74" t="s">
        <v>68</v>
      </c>
      <c r="D221" s="75" t="s">
        <v>116</v>
      </c>
      <c r="E221" s="7" t="s">
        <v>1061</v>
      </c>
      <c r="F221" s="76" t="s">
        <v>144</v>
      </c>
      <c r="G221" s="72" t="s">
        <v>39</v>
      </c>
      <c r="H221" s="34">
        <v>2</v>
      </c>
      <c r="I221" s="71" t="s">
        <v>393</v>
      </c>
      <c r="J221" s="32">
        <v>1</v>
      </c>
      <c r="K221" s="33">
        <f>VLOOKUP(E221,照明設備稼働時間!$A$4:$F$72,5,FALSE)</f>
        <v>1944</v>
      </c>
      <c r="L221" s="33" t="str">
        <f t="shared" si="6"/>
        <v>FL40SW ＋PIL100V40WS35E172埋込W300　非常照明　電源別置</v>
      </c>
      <c r="M221" s="33">
        <f>VLOOKUP(L221,照明器具一覧!$B$4:$F$155,5,FALSE)</f>
        <v>94</v>
      </c>
      <c r="N221" s="7">
        <v>1</v>
      </c>
      <c r="O221" s="82">
        <f t="shared" si="7"/>
        <v>182.73599999999999</v>
      </c>
    </row>
    <row r="222" spans="1:15">
      <c r="A222" s="7" t="s">
        <v>763</v>
      </c>
      <c r="B222" s="6" t="s">
        <v>532</v>
      </c>
      <c r="C222" s="74" t="s">
        <v>68</v>
      </c>
      <c r="D222" s="75" t="s">
        <v>116</v>
      </c>
      <c r="E222" s="7" t="s">
        <v>1099</v>
      </c>
      <c r="F222" s="76" t="s">
        <v>77</v>
      </c>
      <c r="G222" s="72" t="s">
        <v>39</v>
      </c>
      <c r="H222" s="34">
        <v>2</v>
      </c>
      <c r="I222" s="71" t="s">
        <v>393</v>
      </c>
      <c r="J222" s="32">
        <v>1</v>
      </c>
      <c r="K222" s="33">
        <f>VLOOKUP(E222,照明設備稼働時間!$A$4:$F$72,5,FALSE)</f>
        <v>1854</v>
      </c>
      <c r="L222" s="33" t="str">
        <f t="shared" si="6"/>
        <v>FL40SW ＋PIL100V40WS35E172埋込W300　非常照明　電源別置</v>
      </c>
      <c r="M222" s="33">
        <f>VLOOKUP(L222,照明器具一覧!$B$4:$F$155,5,FALSE)</f>
        <v>94</v>
      </c>
      <c r="N222" s="7">
        <v>1</v>
      </c>
      <c r="O222" s="82">
        <f t="shared" si="7"/>
        <v>174.27600000000001</v>
      </c>
    </row>
    <row r="223" spans="1:15">
      <c r="A223" s="7" t="s">
        <v>764</v>
      </c>
      <c r="B223" s="6" t="s">
        <v>532</v>
      </c>
      <c r="C223" s="74"/>
      <c r="D223" s="75" t="s">
        <v>116</v>
      </c>
      <c r="E223" s="7" t="s">
        <v>1099</v>
      </c>
      <c r="F223" s="76" t="s">
        <v>77</v>
      </c>
      <c r="G223" s="72" t="s">
        <v>194</v>
      </c>
      <c r="H223" s="34">
        <v>1</v>
      </c>
      <c r="I223" s="71" t="s">
        <v>412</v>
      </c>
      <c r="J223" s="32">
        <v>1</v>
      </c>
      <c r="K223" s="33">
        <f>VLOOKUP(E223,照明設備稼働時間!$A$4:$F$72,5,FALSE)</f>
        <v>1854</v>
      </c>
      <c r="L223" s="33" t="str">
        <f t="shared" si="6"/>
        <v>FL15W1ミラー灯</v>
      </c>
      <c r="M223" s="33">
        <f>VLOOKUP(L223,照明器具一覧!$B$4:$F$155,5,FALSE)</f>
        <v>15</v>
      </c>
      <c r="N223" s="7">
        <v>1</v>
      </c>
      <c r="O223" s="82">
        <f t="shared" si="7"/>
        <v>27.81</v>
      </c>
    </row>
    <row r="224" spans="1:15">
      <c r="A224" s="7" t="s">
        <v>765</v>
      </c>
      <c r="B224" s="6" t="s">
        <v>532</v>
      </c>
      <c r="C224" s="74" t="s">
        <v>53</v>
      </c>
      <c r="D224" s="75" t="s">
        <v>116</v>
      </c>
      <c r="E224" s="7" t="s">
        <v>1099</v>
      </c>
      <c r="F224" s="76" t="s">
        <v>77</v>
      </c>
      <c r="G224" s="72" t="s">
        <v>147</v>
      </c>
      <c r="H224" s="34">
        <v>1</v>
      </c>
      <c r="I224" s="71" t="s">
        <v>396</v>
      </c>
      <c r="J224" s="32">
        <v>1</v>
      </c>
      <c r="K224" s="33">
        <f>VLOOKUP(E224,照明設備稼働時間!$A$4:$F$72,5,FALSE)</f>
        <v>1854</v>
      </c>
      <c r="L224" s="33" t="str">
        <f t="shared" si="6"/>
        <v>IL40W1直付白熱灯</v>
      </c>
      <c r="M224" s="33">
        <f>VLOOKUP(L224,照明器具一覧!$B$4:$F$155,5,FALSE)</f>
        <v>40</v>
      </c>
      <c r="N224" s="7">
        <v>1</v>
      </c>
      <c r="O224" s="82">
        <f t="shared" si="7"/>
        <v>74.16</v>
      </c>
    </row>
    <row r="225" spans="1:15">
      <c r="A225" s="7" t="s">
        <v>766</v>
      </c>
      <c r="B225" s="6" t="s">
        <v>532</v>
      </c>
      <c r="C225" s="74" t="s">
        <v>27</v>
      </c>
      <c r="D225" s="75" t="s">
        <v>116</v>
      </c>
      <c r="E225" s="7" t="s">
        <v>509</v>
      </c>
      <c r="F225" s="76" t="s">
        <v>321</v>
      </c>
      <c r="G225" s="72" t="s">
        <v>446</v>
      </c>
      <c r="H225" s="34">
        <v>2</v>
      </c>
      <c r="I225" s="71" t="s">
        <v>360</v>
      </c>
      <c r="J225" s="32">
        <v>6</v>
      </c>
      <c r="K225" s="33">
        <f>VLOOKUP(E225,照明設備稼働時間!$A$4:$F$72,5,FALSE)</f>
        <v>4172</v>
      </c>
      <c r="L225" s="33" t="str">
        <f t="shared" si="6"/>
        <v>FPL28W2埋込　スクエア□350</v>
      </c>
      <c r="M225" s="33">
        <f>VLOOKUP(L225,照明器具一覧!$B$4:$F$155,5,FALSE)</f>
        <v>31</v>
      </c>
      <c r="N225" s="7">
        <v>1</v>
      </c>
      <c r="O225" s="82">
        <f t="shared" si="7"/>
        <v>775.99199999999996</v>
      </c>
    </row>
    <row r="226" spans="1:15">
      <c r="A226" s="7" t="s">
        <v>767</v>
      </c>
      <c r="B226" s="6" t="s">
        <v>532</v>
      </c>
      <c r="C226" s="74" t="s">
        <v>254</v>
      </c>
      <c r="D226" s="75" t="s">
        <v>116</v>
      </c>
      <c r="E226" s="7" t="s">
        <v>9</v>
      </c>
      <c r="F226" s="76" t="s">
        <v>319</v>
      </c>
      <c r="G226" s="72" t="s">
        <v>40</v>
      </c>
      <c r="H226" s="34">
        <v>1</v>
      </c>
      <c r="I226" s="71" t="s">
        <v>320</v>
      </c>
      <c r="J226" s="32">
        <v>1</v>
      </c>
      <c r="K226" s="33">
        <f>VLOOKUP(E226,照明設備稼働時間!$A$4:$F$72,5,FALSE)</f>
        <v>8760</v>
      </c>
      <c r="L226" s="33" t="str">
        <f t="shared" si="6"/>
        <v>FL20W1避難口誘導灯</v>
      </c>
      <c r="M226" s="33">
        <f>VLOOKUP(L226,照明器具一覧!$B$4:$F$155,5,FALSE)</f>
        <v>22</v>
      </c>
      <c r="N226" s="7">
        <v>1</v>
      </c>
      <c r="O226" s="82">
        <f t="shared" si="7"/>
        <v>192.72</v>
      </c>
    </row>
    <row r="227" spans="1:15">
      <c r="A227" s="7" t="s">
        <v>768</v>
      </c>
      <c r="B227" s="6" t="s">
        <v>532</v>
      </c>
      <c r="C227" s="74" t="s">
        <v>243</v>
      </c>
      <c r="D227" s="75" t="s">
        <v>116</v>
      </c>
      <c r="E227" s="7" t="s">
        <v>9</v>
      </c>
      <c r="F227" s="76" t="s">
        <v>321</v>
      </c>
      <c r="G227" s="72" t="s">
        <v>40</v>
      </c>
      <c r="H227" s="34">
        <v>1</v>
      </c>
      <c r="I227" s="71" t="s">
        <v>322</v>
      </c>
      <c r="J227" s="32">
        <v>1</v>
      </c>
      <c r="K227" s="33">
        <f>VLOOKUP(E227,照明設備稼働時間!$A$4:$F$72,5,FALSE)</f>
        <v>8760</v>
      </c>
      <c r="L227" s="33" t="str">
        <f t="shared" si="6"/>
        <v>FL20W1通路誘導灯</v>
      </c>
      <c r="M227" s="33">
        <f>VLOOKUP(L227,照明器具一覧!$B$4:$F$155,5,FALSE)</f>
        <v>22</v>
      </c>
      <c r="N227" s="7">
        <v>1</v>
      </c>
      <c r="O227" s="82">
        <f t="shared" si="7"/>
        <v>192.72</v>
      </c>
    </row>
    <row r="228" spans="1:15">
      <c r="A228" s="7" t="s">
        <v>769</v>
      </c>
      <c r="B228" s="6" t="s">
        <v>532</v>
      </c>
      <c r="C228" s="74" t="s">
        <v>263</v>
      </c>
      <c r="D228" s="75" t="s">
        <v>116</v>
      </c>
      <c r="E228" s="7" t="s">
        <v>9</v>
      </c>
      <c r="F228" s="76" t="s">
        <v>256</v>
      </c>
      <c r="G228" s="72" t="s">
        <v>38</v>
      </c>
      <c r="H228" s="34">
        <v>2</v>
      </c>
      <c r="I228" s="71" t="s">
        <v>320</v>
      </c>
      <c r="J228" s="32">
        <v>1</v>
      </c>
      <c r="K228" s="33">
        <f>VLOOKUP(E228,照明設備稼働時間!$A$4:$F$72,5,FALSE)</f>
        <v>8760</v>
      </c>
      <c r="L228" s="33" t="str">
        <f t="shared" si="6"/>
        <v>FL40W2避難口誘導灯</v>
      </c>
      <c r="M228" s="33">
        <f>VLOOKUP(L228,照明器具一覧!$B$4:$F$155,5,FALSE)</f>
        <v>94</v>
      </c>
      <c r="N228" s="7">
        <v>1</v>
      </c>
      <c r="O228" s="82">
        <f t="shared" si="7"/>
        <v>823.44</v>
      </c>
    </row>
    <row r="229" spans="1:15">
      <c r="A229" s="7" t="s">
        <v>770</v>
      </c>
      <c r="B229" s="6" t="s">
        <v>532</v>
      </c>
      <c r="C229" s="74" t="s">
        <v>254</v>
      </c>
      <c r="D229" s="75" t="s">
        <v>116</v>
      </c>
      <c r="E229" s="7" t="s">
        <v>9</v>
      </c>
      <c r="F229" s="76" t="s">
        <v>323</v>
      </c>
      <c r="G229" s="72" t="s">
        <v>40</v>
      </c>
      <c r="H229" s="34">
        <v>1</v>
      </c>
      <c r="I229" s="71" t="s">
        <v>320</v>
      </c>
      <c r="J229" s="32">
        <v>1</v>
      </c>
      <c r="K229" s="33">
        <f>VLOOKUP(E229,照明設備稼働時間!$A$4:$F$72,5,FALSE)</f>
        <v>8760</v>
      </c>
      <c r="L229" s="33" t="str">
        <f t="shared" si="6"/>
        <v>FL20W1避難口誘導灯</v>
      </c>
      <c r="M229" s="33">
        <f>VLOOKUP(L229,照明器具一覧!$B$4:$F$155,5,FALSE)</f>
        <v>22</v>
      </c>
      <c r="N229" s="7">
        <v>1</v>
      </c>
      <c r="O229" s="82">
        <f t="shared" si="7"/>
        <v>192.72</v>
      </c>
    </row>
    <row r="230" spans="1:15">
      <c r="A230" s="7" t="s">
        <v>771</v>
      </c>
      <c r="B230" s="6" t="s">
        <v>532</v>
      </c>
      <c r="C230" s="74" t="s">
        <v>243</v>
      </c>
      <c r="D230" s="75" t="s">
        <v>116</v>
      </c>
      <c r="E230" s="7" t="s">
        <v>9</v>
      </c>
      <c r="F230" s="76" t="s">
        <v>321</v>
      </c>
      <c r="G230" s="72" t="s">
        <v>40</v>
      </c>
      <c r="H230" s="34">
        <v>1</v>
      </c>
      <c r="I230" s="71" t="s">
        <v>322</v>
      </c>
      <c r="J230" s="32">
        <v>1</v>
      </c>
      <c r="K230" s="33">
        <f>VLOOKUP(E230,照明設備稼働時間!$A$4:$F$72,5,FALSE)</f>
        <v>8760</v>
      </c>
      <c r="L230" s="33" t="str">
        <f t="shared" si="6"/>
        <v>FL20W1通路誘導灯</v>
      </c>
      <c r="M230" s="33">
        <f>VLOOKUP(L230,照明器具一覧!$B$4:$F$155,5,FALSE)</f>
        <v>22</v>
      </c>
      <c r="N230" s="7">
        <v>1</v>
      </c>
      <c r="O230" s="82">
        <f t="shared" si="7"/>
        <v>192.72</v>
      </c>
    </row>
    <row r="231" spans="1:15">
      <c r="A231" s="7" t="s">
        <v>772</v>
      </c>
      <c r="B231" s="6" t="s">
        <v>532</v>
      </c>
      <c r="C231" s="74" t="s">
        <v>254</v>
      </c>
      <c r="D231" s="75" t="s">
        <v>116</v>
      </c>
      <c r="E231" s="7" t="s">
        <v>9</v>
      </c>
      <c r="F231" s="76" t="s">
        <v>316</v>
      </c>
      <c r="G231" s="72" t="s">
        <v>40</v>
      </c>
      <c r="H231" s="34">
        <v>1</v>
      </c>
      <c r="I231" s="71" t="s">
        <v>320</v>
      </c>
      <c r="J231" s="32">
        <v>1</v>
      </c>
      <c r="K231" s="33">
        <f>VLOOKUP(E231,照明設備稼働時間!$A$4:$F$72,5,FALSE)</f>
        <v>8760</v>
      </c>
      <c r="L231" s="33" t="str">
        <f t="shared" si="6"/>
        <v>FL20W1避難口誘導灯</v>
      </c>
      <c r="M231" s="33">
        <f>VLOOKUP(L231,照明器具一覧!$B$4:$F$155,5,FALSE)</f>
        <v>22</v>
      </c>
      <c r="N231" s="7">
        <v>1</v>
      </c>
      <c r="O231" s="82">
        <f t="shared" si="7"/>
        <v>192.72</v>
      </c>
    </row>
    <row r="232" spans="1:15">
      <c r="A232" s="7" t="s">
        <v>773</v>
      </c>
      <c r="B232" s="6" t="s">
        <v>532</v>
      </c>
      <c r="C232" s="74" t="s">
        <v>254</v>
      </c>
      <c r="D232" s="75" t="s">
        <v>116</v>
      </c>
      <c r="E232" s="7" t="s">
        <v>9</v>
      </c>
      <c r="F232" s="76" t="s">
        <v>324</v>
      </c>
      <c r="G232" s="72" t="s">
        <v>40</v>
      </c>
      <c r="H232" s="34">
        <v>1</v>
      </c>
      <c r="I232" s="71" t="s">
        <v>320</v>
      </c>
      <c r="J232" s="32">
        <v>1</v>
      </c>
      <c r="K232" s="33">
        <f>VLOOKUP(E232,照明設備稼働時間!$A$4:$F$72,5,FALSE)</f>
        <v>8760</v>
      </c>
      <c r="L232" s="33" t="str">
        <f t="shared" si="6"/>
        <v>FL20W1避難口誘導灯</v>
      </c>
      <c r="M232" s="33">
        <f>VLOOKUP(L232,照明器具一覧!$B$4:$F$155,5,FALSE)</f>
        <v>22</v>
      </c>
      <c r="N232" s="7">
        <v>1</v>
      </c>
      <c r="O232" s="82">
        <f t="shared" si="7"/>
        <v>192.72</v>
      </c>
    </row>
    <row r="233" spans="1:15">
      <c r="A233" s="7" t="s">
        <v>774</v>
      </c>
      <c r="B233" s="6" t="s">
        <v>532</v>
      </c>
      <c r="C233" s="74" t="s">
        <v>243</v>
      </c>
      <c r="D233" s="75" t="s">
        <v>116</v>
      </c>
      <c r="E233" s="7" t="s">
        <v>9</v>
      </c>
      <c r="F233" s="76" t="s">
        <v>321</v>
      </c>
      <c r="G233" s="72" t="s">
        <v>40</v>
      </c>
      <c r="H233" s="34">
        <v>1</v>
      </c>
      <c r="I233" s="71" t="s">
        <v>322</v>
      </c>
      <c r="J233" s="32">
        <v>1</v>
      </c>
      <c r="K233" s="33">
        <f>VLOOKUP(E233,照明設備稼働時間!$A$4:$F$72,5,FALSE)</f>
        <v>8760</v>
      </c>
      <c r="L233" s="33" t="str">
        <f t="shared" si="6"/>
        <v>FL20W1通路誘導灯</v>
      </c>
      <c r="M233" s="33">
        <f>VLOOKUP(L233,照明器具一覧!$B$4:$F$155,5,FALSE)</f>
        <v>22</v>
      </c>
      <c r="N233" s="7">
        <v>1</v>
      </c>
      <c r="O233" s="82">
        <f t="shared" si="7"/>
        <v>192.72</v>
      </c>
    </row>
    <row r="234" spans="1:15">
      <c r="A234" s="7" t="s">
        <v>775</v>
      </c>
      <c r="B234" s="6" t="s">
        <v>532</v>
      </c>
      <c r="C234" s="74" t="s">
        <v>247</v>
      </c>
      <c r="D234" s="75" t="s">
        <v>116</v>
      </c>
      <c r="E234" s="7" t="s">
        <v>9</v>
      </c>
      <c r="F234" s="76" t="s">
        <v>37</v>
      </c>
      <c r="G234" s="72" t="s">
        <v>38</v>
      </c>
      <c r="H234" s="34">
        <v>2</v>
      </c>
      <c r="I234" s="71" t="s">
        <v>327</v>
      </c>
      <c r="J234" s="32">
        <v>1</v>
      </c>
      <c r="K234" s="33">
        <f>VLOOKUP(E234,照明設備稼働時間!$A$4:$F$72,5,FALSE)</f>
        <v>8760</v>
      </c>
      <c r="L234" s="33" t="str">
        <f t="shared" si="6"/>
        <v>FL40W2避難口誘導灯</v>
      </c>
      <c r="M234" s="33">
        <f>VLOOKUP(L234,照明器具一覧!$B$4:$F$155,5,FALSE)</f>
        <v>94</v>
      </c>
      <c r="N234" s="7">
        <v>1</v>
      </c>
      <c r="O234" s="82">
        <f t="shared" si="7"/>
        <v>823.44</v>
      </c>
    </row>
    <row r="235" spans="1:15">
      <c r="A235" s="7" t="s">
        <v>776</v>
      </c>
      <c r="B235" s="6" t="s">
        <v>533</v>
      </c>
      <c r="C235" s="74" t="s">
        <v>248</v>
      </c>
      <c r="D235" s="75" t="s">
        <v>116</v>
      </c>
      <c r="E235" s="7" t="s">
        <v>9</v>
      </c>
      <c r="F235" s="76" t="s">
        <v>325</v>
      </c>
      <c r="G235" s="72" t="s">
        <v>307</v>
      </c>
      <c r="H235" s="34">
        <v>1</v>
      </c>
      <c r="I235" s="71" t="s">
        <v>326</v>
      </c>
      <c r="J235" s="32">
        <v>1</v>
      </c>
      <c r="K235" s="33">
        <f>VLOOKUP(E235,照明設備稼働時間!$A$4:$F$72,5,FALSE)</f>
        <v>8760</v>
      </c>
      <c r="L235" s="33" t="str">
        <f t="shared" si="6"/>
        <v>LED1避難表示灯</v>
      </c>
      <c r="M235" s="33">
        <f>VLOOKUP(L235,照明器具一覧!$B$4:$F$155,5,FALSE)</f>
        <v>4</v>
      </c>
      <c r="N235" s="7">
        <v>1</v>
      </c>
      <c r="O235" s="82">
        <f t="shared" si="7"/>
        <v>35.04</v>
      </c>
    </row>
    <row r="236" spans="1:15">
      <c r="A236" s="7" t="s">
        <v>777</v>
      </c>
      <c r="B236" s="6" t="s">
        <v>532</v>
      </c>
      <c r="C236" s="74" t="s">
        <v>52</v>
      </c>
      <c r="D236" s="75" t="s">
        <v>116</v>
      </c>
      <c r="E236" s="7" t="s">
        <v>509</v>
      </c>
      <c r="F236" s="76" t="s">
        <v>37</v>
      </c>
      <c r="G236" s="72" t="s">
        <v>105</v>
      </c>
      <c r="H236" s="34">
        <v>1</v>
      </c>
      <c r="I236" s="71" t="s">
        <v>250</v>
      </c>
      <c r="J236" s="32">
        <v>1</v>
      </c>
      <c r="K236" s="33">
        <f>VLOOKUP(E236,照明設備稼働時間!$A$4:$F$72,5,FALSE)</f>
        <v>4172</v>
      </c>
      <c r="L236" s="33" t="str">
        <f t="shared" si="6"/>
        <v>FLR40W1階段灯　非常灯兼用　電池内蔵</v>
      </c>
      <c r="M236" s="33">
        <f>VLOOKUP(L236,照明器具一覧!$B$4:$F$155,5,FALSE)</f>
        <v>44</v>
      </c>
      <c r="N236" s="7">
        <v>1</v>
      </c>
      <c r="O236" s="82">
        <f t="shared" si="7"/>
        <v>183.56800000000001</v>
      </c>
    </row>
    <row r="237" spans="1:15">
      <c r="A237" s="7" t="s">
        <v>778</v>
      </c>
      <c r="B237" s="6" t="s">
        <v>532</v>
      </c>
      <c r="C237" s="74" t="s">
        <v>26</v>
      </c>
      <c r="D237" s="75" t="s">
        <v>116</v>
      </c>
      <c r="E237" s="7" t="s">
        <v>515</v>
      </c>
      <c r="F237" s="76" t="s">
        <v>36</v>
      </c>
      <c r="G237" s="72" t="s">
        <v>284</v>
      </c>
      <c r="H237" s="34">
        <v>1</v>
      </c>
      <c r="I237" s="71" t="s">
        <v>237</v>
      </c>
      <c r="J237" s="32">
        <v>1</v>
      </c>
      <c r="K237" s="33">
        <f>VLOOKUP(E237,照明設備稼働時間!$A$4:$F$72,5,FALSE)</f>
        <v>0</v>
      </c>
      <c r="L237" s="33" t="str">
        <f t="shared" si="6"/>
        <v>IL40W1非常灯　電源別置　φ100</v>
      </c>
      <c r="M237" s="33">
        <f>VLOOKUP(L237,照明器具一覧!$B$4:$F$155,5,FALSE)</f>
        <v>40</v>
      </c>
      <c r="N237" s="7">
        <v>1</v>
      </c>
      <c r="O237" s="82">
        <f t="shared" si="7"/>
        <v>0</v>
      </c>
    </row>
    <row r="238" spans="1:15">
      <c r="A238" s="7" t="s">
        <v>779</v>
      </c>
      <c r="B238" s="6" t="s">
        <v>532</v>
      </c>
      <c r="C238" s="74" t="s">
        <v>123</v>
      </c>
      <c r="D238" s="75" t="s">
        <v>116</v>
      </c>
      <c r="E238" s="7" t="s">
        <v>515</v>
      </c>
      <c r="F238" s="76" t="s">
        <v>302</v>
      </c>
      <c r="G238" s="72" t="s">
        <v>390</v>
      </c>
      <c r="H238" s="34">
        <v>1</v>
      </c>
      <c r="I238" s="71" t="s">
        <v>303</v>
      </c>
      <c r="J238" s="32">
        <v>2</v>
      </c>
      <c r="K238" s="33">
        <f>VLOOKUP(E238,照明設備稼働時間!$A$4:$F$72,5,FALSE)</f>
        <v>0</v>
      </c>
      <c r="L238" s="33" t="str">
        <f t="shared" si="6"/>
        <v>IL60W1非常灯　電源別置　φ200</v>
      </c>
      <c r="M238" s="33">
        <f>VLOOKUP(L238,照明器具一覧!$B$4:$F$155,5,FALSE)</f>
        <v>60</v>
      </c>
      <c r="N238" s="7">
        <v>1</v>
      </c>
      <c r="O238" s="82">
        <f t="shared" si="7"/>
        <v>0</v>
      </c>
    </row>
    <row r="239" spans="1:15">
      <c r="A239" s="7" t="s">
        <v>780</v>
      </c>
      <c r="B239" s="6" t="s">
        <v>532</v>
      </c>
      <c r="C239" s="74" t="s">
        <v>26</v>
      </c>
      <c r="D239" s="75" t="s">
        <v>116</v>
      </c>
      <c r="E239" s="7" t="s">
        <v>515</v>
      </c>
      <c r="F239" s="76" t="s">
        <v>36</v>
      </c>
      <c r="G239" s="72" t="s">
        <v>284</v>
      </c>
      <c r="H239" s="34">
        <v>1</v>
      </c>
      <c r="I239" s="71" t="s">
        <v>237</v>
      </c>
      <c r="J239" s="32">
        <v>1</v>
      </c>
      <c r="K239" s="33">
        <f>VLOOKUP(E239,照明設備稼働時間!$A$4:$F$72,5,FALSE)</f>
        <v>0</v>
      </c>
      <c r="L239" s="33" t="str">
        <f t="shared" si="6"/>
        <v>IL40W1非常灯　電源別置　φ100</v>
      </c>
      <c r="M239" s="33">
        <f>VLOOKUP(L239,照明器具一覧!$B$4:$F$155,5,FALSE)</f>
        <v>40</v>
      </c>
      <c r="N239" s="7">
        <v>1</v>
      </c>
      <c r="O239" s="82">
        <f t="shared" si="7"/>
        <v>0</v>
      </c>
    </row>
    <row r="240" spans="1:15">
      <c r="A240" s="7" t="s">
        <v>781</v>
      </c>
      <c r="B240" s="6" t="s">
        <v>532</v>
      </c>
      <c r="C240" s="74" t="s">
        <v>26</v>
      </c>
      <c r="D240" s="75" t="s">
        <v>116</v>
      </c>
      <c r="E240" s="7" t="s">
        <v>515</v>
      </c>
      <c r="F240" s="76" t="s">
        <v>36</v>
      </c>
      <c r="G240" s="72" t="s">
        <v>284</v>
      </c>
      <c r="H240" s="34">
        <v>1</v>
      </c>
      <c r="I240" s="71" t="s">
        <v>237</v>
      </c>
      <c r="J240" s="32">
        <v>1</v>
      </c>
      <c r="K240" s="33">
        <f>VLOOKUP(E240,照明設備稼働時間!$A$4:$F$72,5,FALSE)</f>
        <v>0</v>
      </c>
      <c r="L240" s="33" t="str">
        <f t="shared" si="6"/>
        <v>IL40W1非常灯　電源別置　φ100</v>
      </c>
      <c r="M240" s="33">
        <f>VLOOKUP(L240,照明器具一覧!$B$4:$F$155,5,FALSE)</f>
        <v>40</v>
      </c>
      <c r="N240" s="7">
        <v>1</v>
      </c>
      <c r="O240" s="82">
        <f t="shared" si="7"/>
        <v>0</v>
      </c>
    </row>
    <row r="241" spans="1:15">
      <c r="A241" s="7" t="s">
        <v>782</v>
      </c>
      <c r="B241" s="6" t="s">
        <v>532</v>
      </c>
      <c r="C241" s="74" t="s">
        <v>66</v>
      </c>
      <c r="D241" s="75" t="s">
        <v>116</v>
      </c>
      <c r="E241" s="7" t="s">
        <v>509</v>
      </c>
      <c r="F241" s="76" t="s">
        <v>85</v>
      </c>
      <c r="G241" s="72" t="s">
        <v>105</v>
      </c>
      <c r="H241" s="34">
        <v>1</v>
      </c>
      <c r="I241" s="71" t="s">
        <v>250</v>
      </c>
      <c r="J241" s="32">
        <v>1</v>
      </c>
      <c r="K241" s="33">
        <f>VLOOKUP(E241,照明設備稼働時間!$A$4:$F$72,5,FALSE)</f>
        <v>4172</v>
      </c>
      <c r="L241" s="33" t="str">
        <f t="shared" si="6"/>
        <v>FLR40W1階段灯　非常灯兼用　電池内蔵</v>
      </c>
      <c r="M241" s="33">
        <f>VLOOKUP(L241,照明器具一覧!$B$4:$F$155,5,FALSE)</f>
        <v>44</v>
      </c>
      <c r="N241" s="7">
        <v>1</v>
      </c>
      <c r="O241" s="82">
        <f t="shared" si="7"/>
        <v>183.56800000000001</v>
      </c>
    </row>
    <row r="242" spans="1:15">
      <c r="A242" s="7" t="s">
        <v>783</v>
      </c>
      <c r="B242" s="6" t="s">
        <v>532</v>
      </c>
      <c r="C242" s="74" t="s">
        <v>66</v>
      </c>
      <c r="D242" s="75" t="s">
        <v>116</v>
      </c>
      <c r="E242" s="7" t="s">
        <v>509</v>
      </c>
      <c r="F242" s="76" t="s">
        <v>85</v>
      </c>
      <c r="G242" s="72" t="s">
        <v>105</v>
      </c>
      <c r="H242" s="34">
        <v>1</v>
      </c>
      <c r="I242" s="71" t="s">
        <v>250</v>
      </c>
      <c r="J242" s="32">
        <v>1</v>
      </c>
      <c r="K242" s="33">
        <f>VLOOKUP(E242,照明設備稼働時間!$A$4:$F$72,5,FALSE)</f>
        <v>4172</v>
      </c>
      <c r="L242" s="33" t="str">
        <f t="shared" si="6"/>
        <v>FLR40W1階段灯　非常灯兼用　電池内蔵</v>
      </c>
      <c r="M242" s="33">
        <f>VLOOKUP(L242,照明器具一覧!$B$4:$F$155,5,FALSE)</f>
        <v>44</v>
      </c>
      <c r="N242" s="7">
        <v>1</v>
      </c>
      <c r="O242" s="82">
        <f t="shared" si="7"/>
        <v>183.56800000000001</v>
      </c>
    </row>
    <row r="243" spans="1:15">
      <c r="A243" s="7" t="s">
        <v>784</v>
      </c>
      <c r="B243" s="6" t="s">
        <v>532</v>
      </c>
      <c r="C243" s="74" t="s">
        <v>26</v>
      </c>
      <c r="D243" s="75" t="s">
        <v>116</v>
      </c>
      <c r="E243" s="7" t="s">
        <v>515</v>
      </c>
      <c r="F243" s="76" t="s">
        <v>131</v>
      </c>
      <c r="G243" s="72" t="s">
        <v>284</v>
      </c>
      <c r="H243" s="34">
        <v>1</v>
      </c>
      <c r="I243" s="71" t="s">
        <v>237</v>
      </c>
      <c r="J243" s="32">
        <v>4</v>
      </c>
      <c r="K243" s="33">
        <f>VLOOKUP(E243,照明設備稼働時間!$A$4:$F$72,5,FALSE)</f>
        <v>0</v>
      </c>
      <c r="L243" s="33" t="str">
        <f t="shared" si="6"/>
        <v>IL40W1非常灯　電源別置　φ100</v>
      </c>
      <c r="M243" s="33">
        <f>VLOOKUP(L243,照明器具一覧!$B$4:$F$155,5,FALSE)</f>
        <v>40</v>
      </c>
      <c r="N243" s="7">
        <v>1</v>
      </c>
      <c r="O243" s="82">
        <f t="shared" si="7"/>
        <v>0</v>
      </c>
    </row>
    <row r="244" spans="1:15">
      <c r="A244" s="7" t="s">
        <v>785</v>
      </c>
      <c r="B244" s="6" t="s">
        <v>532</v>
      </c>
      <c r="C244" s="74" t="s">
        <v>26</v>
      </c>
      <c r="D244" s="75" t="s">
        <v>116</v>
      </c>
      <c r="E244" s="7" t="s">
        <v>515</v>
      </c>
      <c r="F244" s="76" t="s">
        <v>132</v>
      </c>
      <c r="G244" s="72" t="s">
        <v>284</v>
      </c>
      <c r="H244" s="34">
        <v>1</v>
      </c>
      <c r="I244" s="71" t="s">
        <v>237</v>
      </c>
      <c r="J244" s="32">
        <v>4</v>
      </c>
      <c r="K244" s="33">
        <f>VLOOKUP(E244,照明設備稼働時間!$A$4:$F$72,5,FALSE)</f>
        <v>0</v>
      </c>
      <c r="L244" s="33" t="str">
        <f t="shared" si="6"/>
        <v>IL40W1非常灯　電源別置　φ100</v>
      </c>
      <c r="M244" s="33">
        <f>VLOOKUP(L244,照明器具一覧!$B$4:$F$155,5,FALSE)</f>
        <v>40</v>
      </c>
      <c r="N244" s="7">
        <v>1</v>
      </c>
      <c r="O244" s="82">
        <f t="shared" si="7"/>
        <v>0</v>
      </c>
    </row>
    <row r="245" spans="1:15">
      <c r="A245" s="7" t="s">
        <v>786</v>
      </c>
      <c r="B245" s="6" t="s">
        <v>532</v>
      </c>
      <c r="C245" s="74" t="s">
        <v>26</v>
      </c>
      <c r="D245" s="75" t="s">
        <v>116</v>
      </c>
      <c r="E245" s="7" t="s">
        <v>515</v>
      </c>
      <c r="F245" s="76" t="s">
        <v>134</v>
      </c>
      <c r="G245" s="72" t="s">
        <v>284</v>
      </c>
      <c r="H245" s="34">
        <v>1</v>
      </c>
      <c r="I245" s="71" t="s">
        <v>237</v>
      </c>
      <c r="J245" s="32">
        <v>1</v>
      </c>
      <c r="K245" s="33">
        <f>VLOOKUP(E245,照明設備稼働時間!$A$4:$F$72,5,FALSE)</f>
        <v>0</v>
      </c>
      <c r="L245" s="33" t="str">
        <f t="shared" si="6"/>
        <v>IL40W1非常灯　電源別置　φ100</v>
      </c>
      <c r="M245" s="33">
        <f>VLOOKUP(L245,照明器具一覧!$B$4:$F$155,5,FALSE)</f>
        <v>40</v>
      </c>
      <c r="N245" s="7">
        <v>1</v>
      </c>
      <c r="O245" s="82">
        <f t="shared" si="7"/>
        <v>0</v>
      </c>
    </row>
    <row r="246" spans="1:15">
      <c r="A246" s="7" t="s">
        <v>787</v>
      </c>
      <c r="B246" s="6" t="s">
        <v>532</v>
      </c>
      <c r="C246" s="74" t="s">
        <v>26</v>
      </c>
      <c r="D246" s="75" t="s">
        <v>116</v>
      </c>
      <c r="E246" s="7" t="s">
        <v>515</v>
      </c>
      <c r="F246" s="76" t="s">
        <v>136</v>
      </c>
      <c r="G246" s="72" t="s">
        <v>284</v>
      </c>
      <c r="H246" s="34">
        <v>1</v>
      </c>
      <c r="I246" s="71" t="s">
        <v>237</v>
      </c>
      <c r="J246" s="32">
        <v>1</v>
      </c>
      <c r="K246" s="33">
        <f>VLOOKUP(E246,照明設備稼働時間!$A$4:$F$72,5,FALSE)</f>
        <v>0</v>
      </c>
      <c r="L246" s="33" t="str">
        <f t="shared" si="6"/>
        <v>IL40W1非常灯　電源別置　φ100</v>
      </c>
      <c r="M246" s="33">
        <f>VLOOKUP(L246,照明器具一覧!$B$4:$F$155,5,FALSE)</f>
        <v>40</v>
      </c>
      <c r="N246" s="7">
        <v>1</v>
      </c>
      <c r="O246" s="82">
        <f t="shared" si="7"/>
        <v>0</v>
      </c>
    </row>
    <row r="247" spans="1:15">
      <c r="A247" s="7" t="s">
        <v>788</v>
      </c>
      <c r="B247" s="6" t="s">
        <v>532</v>
      </c>
      <c r="C247" s="74" t="s">
        <v>26</v>
      </c>
      <c r="D247" s="75" t="s">
        <v>116</v>
      </c>
      <c r="E247" s="7" t="s">
        <v>515</v>
      </c>
      <c r="F247" s="76" t="s">
        <v>88</v>
      </c>
      <c r="G247" s="72" t="s">
        <v>284</v>
      </c>
      <c r="H247" s="34">
        <v>1</v>
      </c>
      <c r="I247" s="71" t="s">
        <v>237</v>
      </c>
      <c r="J247" s="32">
        <v>1</v>
      </c>
      <c r="K247" s="33">
        <f>VLOOKUP(E247,照明設備稼働時間!$A$4:$F$72,5,FALSE)</f>
        <v>0</v>
      </c>
      <c r="L247" s="33" t="str">
        <f t="shared" si="6"/>
        <v>IL40W1非常灯　電源別置　φ100</v>
      </c>
      <c r="M247" s="33">
        <f>VLOOKUP(L247,照明器具一覧!$B$4:$F$155,5,FALSE)</f>
        <v>40</v>
      </c>
      <c r="N247" s="7">
        <v>1</v>
      </c>
      <c r="O247" s="82">
        <f t="shared" si="7"/>
        <v>0</v>
      </c>
    </row>
    <row r="248" spans="1:15">
      <c r="A248" s="7" t="s">
        <v>789</v>
      </c>
      <c r="B248" s="6" t="s">
        <v>532</v>
      </c>
      <c r="C248" s="74" t="s">
        <v>26</v>
      </c>
      <c r="D248" s="75" t="s">
        <v>116</v>
      </c>
      <c r="E248" s="7" t="s">
        <v>515</v>
      </c>
      <c r="F248" s="76" t="s">
        <v>87</v>
      </c>
      <c r="G248" s="72" t="s">
        <v>284</v>
      </c>
      <c r="H248" s="34">
        <v>1</v>
      </c>
      <c r="I248" s="71" t="s">
        <v>237</v>
      </c>
      <c r="J248" s="32">
        <v>1</v>
      </c>
      <c r="K248" s="33">
        <f>VLOOKUP(E248,照明設備稼働時間!$A$4:$F$72,5,FALSE)</f>
        <v>0</v>
      </c>
      <c r="L248" s="33" t="str">
        <f t="shared" si="6"/>
        <v>IL40W1非常灯　電源別置　φ100</v>
      </c>
      <c r="M248" s="33">
        <f>VLOOKUP(L248,照明器具一覧!$B$4:$F$155,5,FALSE)</f>
        <v>40</v>
      </c>
      <c r="N248" s="7">
        <v>1</v>
      </c>
      <c r="O248" s="82">
        <f t="shared" si="7"/>
        <v>0</v>
      </c>
    </row>
    <row r="249" spans="1:15">
      <c r="A249" s="7" t="s">
        <v>790</v>
      </c>
      <c r="B249" s="6" t="s">
        <v>532</v>
      </c>
      <c r="C249" s="74" t="s">
        <v>26</v>
      </c>
      <c r="D249" s="75" t="s">
        <v>116</v>
      </c>
      <c r="E249" s="7" t="s">
        <v>515</v>
      </c>
      <c r="F249" s="76" t="s">
        <v>94</v>
      </c>
      <c r="G249" s="72" t="s">
        <v>284</v>
      </c>
      <c r="H249" s="34">
        <v>1</v>
      </c>
      <c r="I249" s="71" t="s">
        <v>237</v>
      </c>
      <c r="J249" s="32">
        <v>4</v>
      </c>
      <c r="K249" s="33">
        <f>VLOOKUP(E249,照明設備稼働時間!$A$4:$F$72,5,FALSE)</f>
        <v>0</v>
      </c>
      <c r="L249" s="33" t="str">
        <f t="shared" si="6"/>
        <v>IL40W1非常灯　電源別置　φ100</v>
      </c>
      <c r="M249" s="33">
        <f>VLOOKUP(L249,照明器具一覧!$B$4:$F$155,5,FALSE)</f>
        <v>40</v>
      </c>
      <c r="N249" s="7">
        <v>1</v>
      </c>
      <c r="O249" s="82">
        <f t="shared" si="7"/>
        <v>0</v>
      </c>
    </row>
    <row r="250" spans="1:15">
      <c r="A250" s="7" t="s">
        <v>791</v>
      </c>
      <c r="B250" s="6" t="s">
        <v>532</v>
      </c>
      <c r="C250" s="74" t="s">
        <v>26</v>
      </c>
      <c r="D250" s="75" t="s">
        <v>116</v>
      </c>
      <c r="E250" s="7" t="s">
        <v>515</v>
      </c>
      <c r="F250" s="76" t="s">
        <v>279</v>
      </c>
      <c r="G250" s="72" t="s">
        <v>284</v>
      </c>
      <c r="H250" s="34">
        <v>1</v>
      </c>
      <c r="I250" s="71" t="s">
        <v>237</v>
      </c>
      <c r="J250" s="32">
        <v>1</v>
      </c>
      <c r="K250" s="33">
        <f>VLOOKUP(E250,照明設備稼働時間!$A$4:$F$72,5,FALSE)</f>
        <v>0</v>
      </c>
      <c r="L250" s="33" t="str">
        <f t="shared" si="6"/>
        <v>IL40W1非常灯　電源別置　φ100</v>
      </c>
      <c r="M250" s="33">
        <f>VLOOKUP(L250,照明器具一覧!$B$4:$F$155,5,FALSE)</f>
        <v>40</v>
      </c>
      <c r="N250" s="7">
        <v>1</v>
      </c>
      <c r="O250" s="82">
        <f t="shared" si="7"/>
        <v>0</v>
      </c>
    </row>
    <row r="251" spans="1:15">
      <c r="A251" s="7" t="s">
        <v>792</v>
      </c>
      <c r="B251" s="6" t="s">
        <v>532</v>
      </c>
      <c r="C251" s="74" t="s">
        <v>26</v>
      </c>
      <c r="D251" s="75" t="s">
        <v>116</v>
      </c>
      <c r="E251" s="7" t="s">
        <v>515</v>
      </c>
      <c r="F251" s="76" t="s">
        <v>139</v>
      </c>
      <c r="G251" s="72" t="s">
        <v>284</v>
      </c>
      <c r="H251" s="34">
        <v>1</v>
      </c>
      <c r="I251" s="71" t="s">
        <v>237</v>
      </c>
      <c r="J251" s="32">
        <v>1</v>
      </c>
      <c r="K251" s="33">
        <f>VLOOKUP(E251,照明設備稼働時間!$A$4:$F$72,5,FALSE)</f>
        <v>0</v>
      </c>
      <c r="L251" s="33" t="str">
        <f t="shared" si="6"/>
        <v>IL40W1非常灯　電源別置　φ100</v>
      </c>
      <c r="M251" s="33">
        <f>VLOOKUP(L251,照明器具一覧!$B$4:$F$155,5,FALSE)</f>
        <v>40</v>
      </c>
      <c r="N251" s="7">
        <v>1</v>
      </c>
      <c r="O251" s="82">
        <f t="shared" si="7"/>
        <v>0</v>
      </c>
    </row>
    <row r="252" spans="1:15">
      <c r="A252" s="7" t="s">
        <v>793</v>
      </c>
      <c r="B252" s="6" t="s">
        <v>532</v>
      </c>
      <c r="C252" s="74" t="s">
        <v>26</v>
      </c>
      <c r="D252" s="75" t="s">
        <v>116</v>
      </c>
      <c r="E252" s="7" t="s">
        <v>515</v>
      </c>
      <c r="F252" s="76" t="s">
        <v>280</v>
      </c>
      <c r="G252" s="72" t="s">
        <v>284</v>
      </c>
      <c r="H252" s="34">
        <v>1</v>
      </c>
      <c r="I252" s="71" t="s">
        <v>237</v>
      </c>
      <c r="J252" s="32">
        <v>1</v>
      </c>
      <c r="K252" s="33">
        <f>VLOOKUP(E252,照明設備稼働時間!$A$4:$F$72,5,FALSE)</f>
        <v>0</v>
      </c>
      <c r="L252" s="33" t="str">
        <f t="shared" si="6"/>
        <v>IL40W1非常灯　電源別置　φ100</v>
      </c>
      <c r="M252" s="33">
        <f>VLOOKUP(L252,照明器具一覧!$B$4:$F$155,5,FALSE)</f>
        <v>40</v>
      </c>
      <c r="N252" s="7">
        <v>1</v>
      </c>
      <c r="O252" s="82">
        <f t="shared" si="7"/>
        <v>0</v>
      </c>
    </row>
    <row r="253" spans="1:15">
      <c r="A253" s="7" t="s">
        <v>794</v>
      </c>
      <c r="B253" s="6" t="s">
        <v>532</v>
      </c>
      <c r="C253" s="74" t="s">
        <v>42</v>
      </c>
      <c r="D253" s="75" t="s">
        <v>116</v>
      </c>
      <c r="E253" s="7" t="s">
        <v>515</v>
      </c>
      <c r="F253" s="76" t="s">
        <v>144</v>
      </c>
      <c r="G253" s="72" t="s">
        <v>284</v>
      </c>
      <c r="H253" s="34">
        <v>1</v>
      </c>
      <c r="I253" s="71" t="s">
        <v>287</v>
      </c>
      <c r="J253" s="32">
        <v>2</v>
      </c>
      <c r="K253" s="33">
        <f>VLOOKUP(E253,照明設備稼働時間!$A$4:$F$72,5,FALSE)</f>
        <v>0</v>
      </c>
      <c r="L253" s="33" t="str">
        <f t="shared" si="6"/>
        <v>IL40W1非常灯　電源別置　WP</v>
      </c>
      <c r="M253" s="33">
        <f>VLOOKUP(L253,照明器具一覧!$B$4:$F$155,5,FALSE)</f>
        <v>40</v>
      </c>
      <c r="N253" s="7">
        <v>1</v>
      </c>
      <c r="O253" s="82">
        <f t="shared" si="7"/>
        <v>0</v>
      </c>
    </row>
    <row r="254" spans="1:15">
      <c r="A254" s="7" t="s">
        <v>795</v>
      </c>
      <c r="B254" s="6" t="s">
        <v>532</v>
      </c>
      <c r="C254" s="74" t="s">
        <v>148</v>
      </c>
      <c r="D254" s="75" t="s">
        <v>11</v>
      </c>
      <c r="E254" s="7" t="s">
        <v>1065</v>
      </c>
      <c r="F254" s="76" t="s">
        <v>132</v>
      </c>
      <c r="G254" s="72" t="s">
        <v>453</v>
      </c>
      <c r="H254" s="34">
        <v>2</v>
      </c>
      <c r="I254" s="71" t="s">
        <v>407</v>
      </c>
      <c r="J254" s="32">
        <v>3</v>
      </c>
      <c r="K254" s="33">
        <f>VLOOKUP(E254,照明設備稼働時間!$A$4:$F$72,5,FALSE)</f>
        <v>927</v>
      </c>
      <c r="L254" s="33" t="str">
        <f t="shared" si="6"/>
        <v>FDL55W2埋込　スクエア□350 和風</v>
      </c>
      <c r="M254" s="33">
        <f>VLOOKUP(L254,照明器具一覧!$B$4:$F$155,5,FALSE)</f>
        <v>55</v>
      </c>
      <c r="N254" s="7">
        <v>1</v>
      </c>
      <c r="O254" s="82">
        <f t="shared" si="7"/>
        <v>152.95500000000001</v>
      </c>
    </row>
    <row r="255" spans="1:15">
      <c r="A255" s="7" t="s">
        <v>796</v>
      </c>
      <c r="B255" s="6" t="s">
        <v>532</v>
      </c>
      <c r="C255" s="74" t="s">
        <v>71</v>
      </c>
      <c r="D255" s="75" t="s">
        <v>11</v>
      </c>
      <c r="E255" s="7" t="s">
        <v>1065</v>
      </c>
      <c r="F255" s="76" t="s">
        <v>132</v>
      </c>
      <c r="G255" s="72" t="s">
        <v>340</v>
      </c>
      <c r="H255" s="34">
        <v>1</v>
      </c>
      <c r="I255" s="71" t="s">
        <v>408</v>
      </c>
      <c r="J255" s="32">
        <v>1</v>
      </c>
      <c r="K255" s="33">
        <f>VLOOKUP(E255,照明設備稼働時間!$A$4:$F$72,5,FALSE)</f>
        <v>927</v>
      </c>
      <c r="L255" s="33" t="str">
        <f t="shared" si="6"/>
        <v>FDL18W1埋込　スクエア□150 和風</v>
      </c>
      <c r="M255" s="33">
        <f>VLOOKUP(L255,照明器具一覧!$B$4:$F$155,5,FALSE)</f>
        <v>22</v>
      </c>
      <c r="N255" s="7">
        <v>1</v>
      </c>
      <c r="O255" s="82">
        <f t="shared" si="7"/>
        <v>20.393999999999998</v>
      </c>
    </row>
    <row r="256" spans="1:15">
      <c r="A256" s="7" t="s">
        <v>797</v>
      </c>
      <c r="B256" s="6" t="s">
        <v>532</v>
      </c>
      <c r="C256" s="74" t="s">
        <v>55</v>
      </c>
      <c r="D256" s="75" t="s">
        <v>11</v>
      </c>
      <c r="E256" s="7" t="s">
        <v>1065</v>
      </c>
      <c r="F256" s="76" t="s">
        <v>132</v>
      </c>
      <c r="G256" s="72" t="s">
        <v>38</v>
      </c>
      <c r="H256" s="34">
        <v>1</v>
      </c>
      <c r="I256" s="71" t="s">
        <v>357</v>
      </c>
      <c r="J256" s="32">
        <v>60</v>
      </c>
      <c r="K256" s="33">
        <f>VLOOKUP(E256,照明設備稼働時間!$A$4:$F$72,5,FALSE)</f>
        <v>927</v>
      </c>
      <c r="L256" s="33" t="str">
        <f t="shared" si="6"/>
        <v>FL40W1トラフ</v>
      </c>
      <c r="M256" s="33">
        <f>VLOOKUP(L256,照明器具一覧!$B$4:$F$155,5,FALSE)</f>
        <v>47</v>
      </c>
      <c r="N256" s="7">
        <v>1</v>
      </c>
      <c r="O256" s="82">
        <f t="shared" si="7"/>
        <v>2614.14</v>
      </c>
    </row>
    <row r="257" spans="1:15">
      <c r="A257" s="7" t="s">
        <v>798</v>
      </c>
      <c r="B257" s="6" t="s">
        <v>532</v>
      </c>
      <c r="C257" s="74" t="s">
        <v>267</v>
      </c>
      <c r="D257" s="75" t="s">
        <v>11</v>
      </c>
      <c r="E257" s="7" t="s">
        <v>513</v>
      </c>
      <c r="F257" s="76" t="s">
        <v>153</v>
      </c>
      <c r="G257" s="72" t="s">
        <v>104</v>
      </c>
      <c r="H257" s="34">
        <v>1</v>
      </c>
      <c r="I257" s="71" t="s">
        <v>408</v>
      </c>
      <c r="J257" s="32">
        <v>3</v>
      </c>
      <c r="K257" s="33">
        <f>VLOOKUP(E257,照明設備稼働時間!$A$4:$F$72,5,FALSE)</f>
        <v>309</v>
      </c>
      <c r="L257" s="33" t="str">
        <f t="shared" si="6"/>
        <v>FDL18EX-N1埋込　スクエア□150 和風</v>
      </c>
      <c r="M257" s="33">
        <f>VLOOKUP(L257,照明器具一覧!$B$4:$F$155,5,FALSE)</f>
        <v>22</v>
      </c>
      <c r="N257" s="7">
        <v>1</v>
      </c>
      <c r="O257" s="82">
        <f t="shared" si="7"/>
        <v>20.393999999999998</v>
      </c>
    </row>
    <row r="258" spans="1:15">
      <c r="A258" s="7" t="s">
        <v>799</v>
      </c>
      <c r="B258" s="6" t="s">
        <v>532</v>
      </c>
      <c r="C258" s="74" t="s">
        <v>267</v>
      </c>
      <c r="D258" s="75" t="s">
        <v>11</v>
      </c>
      <c r="E258" s="7" t="s">
        <v>1065</v>
      </c>
      <c r="F258" s="76" t="s">
        <v>134</v>
      </c>
      <c r="G258" s="72" t="s">
        <v>104</v>
      </c>
      <c r="H258" s="34">
        <v>1</v>
      </c>
      <c r="I258" s="71" t="s">
        <v>408</v>
      </c>
      <c r="J258" s="32">
        <v>3</v>
      </c>
      <c r="K258" s="33">
        <f>VLOOKUP(E258,照明設備稼働時間!$A$4:$F$72,5,FALSE)</f>
        <v>927</v>
      </c>
      <c r="L258" s="33" t="str">
        <f t="shared" si="6"/>
        <v>FDL18EX-N1埋込　スクエア□150 和風</v>
      </c>
      <c r="M258" s="33">
        <f>VLOOKUP(L258,照明器具一覧!$B$4:$F$155,5,FALSE)</f>
        <v>22</v>
      </c>
      <c r="N258" s="7">
        <v>1</v>
      </c>
      <c r="O258" s="82">
        <f t="shared" si="7"/>
        <v>61.182000000000002</v>
      </c>
    </row>
    <row r="259" spans="1:15">
      <c r="A259" s="7" t="s">
        <v>800</v>
      </c>
      <c r="B259" s="6" t="s">
        <v>532</v>
      </c>
      <c r="C259" s="74" t="s">
        <v>149</v>
      </c>
      <c r="D259" s="75" t="s">
        <v>11</v>
      </c>
      <c r="E259" s="7" t="s">
        <v>1115</v>
      </c>
      <c r="F259" s="76" t="s">
        <v>154</v>
      </c>
      <c r="G259" s="72" t="s">
        <v>145</v>
      </c>
      <c r="H259" s="34">
        <v>4</v>
      </c>
      <c r="I259" s="71" t="s">
        <v>397</v>
      </c>
      <c r="J259" s="32">
        <v>2</v>
      </c>
      <c r="K259" s="33">
        <f>VLOOKUP(E259,照明設備稼働時間!$A$4:$F$72,5,FALSE)</f>
        <v>2187</v>
      </c>
      <c r="L259" s="33" t="str">
        <f t="shared" si="6"/>
        <v>FPL36EX-N/24埋込　スクエア□450</v>
      </c>
      <c r="M259" s="33">
        <f>VLOOKUP(L259,照明器具一覧!$B$4:$F$155,5,FALSE)</f>
        <v>184</v>
      </c>
      <c r="N259" s="7">
        <v>1</v>
      </c>
      <c r="O259" s="82">
        <f t="shared" si="7"/>
        <v>804.81600000000003</v>
      </c>
    </row>
    <row r="260" spans="1:15">
      <c r="A260" s="7" t="s">
        <v>801</v>
      </c>
      <c r="B260" s="6" t="s">
        <v>532</v>
      </c>
      <c r="C260" s="74" t="s">
        <v>149</v>
      </c>
      <c r="D260" s="75" t="s">
        <v>11</v>
      </c>
      <c r="E260" s="7" t="s">
        <v>1114</v>
      </c>
      <c r="F260" s="76" t="s">
        <v>155</v>
      </c>
      <c r="G260" s="72" t="s">
        <v>145</v>
      </c>
      <c r="H260" s="34">
        <v>4</v>
      </c>
      <c r="I260" s="71" t="s">
        <v>397</v>
      </c>
      <c r="J260" s="32">
        <v>2</v>
      </c>
      <c r="K260" s="33">
        <f>VLOOKUP(E260,照明設備稼働時間!$A$4:$F$72,5,FALSE)</f>
        <v>309</v>
      </c>
      <c r="L260" s="33" t="str">
        <f t="shared" ref="L260:L323" si="8">G260&amp;H260&amp;I260</f>
        <v>FPL36EX-N/24埋込　スクエア□450</v>
      </c>
      <c r="M260" s="33">
        <f>VLOOKUP(L260,照明器具一覧!$B$4:$F$155,5,FALSE)</f>
        <v>184</v>
      </c>
      <c r="N260" s="7">
        <v>1</v>
      </c>
      <c r="O260" s="82">
        <f t="shared" ref="O260:O323" si="9">(J260*K260*M260*N260)/1000</f>
        <v>113.712</v>
      </c>
    </row>
    <row r="261" spans="1:15">
      <c r="A261" s="7" t="s">
        <v>802</v>
      </c>
      <c r="B261" s="6" t="s">
        <v>532</v>
      </c>
      <c r="C261" s="74" t="s">
        <v>150</v>
      </c>
      <c r="D261" s="75" t="s">
        <v>11</v>
      </c>
      <c r="E261" s="7" t="s">
        <v>1072</v>
      </c>
      <c r="F261" s="76" t="s">
        <v>156</v>
      </c>
      <c r="G261" s="72" t="s">
        <v>38</v>
      </c>
      <c r="H261" s="34">
        <v>2</v>
      </c>
      <c r="I261" s="71" t="s">
        <v>359</v>
      </c>
      <c r="J261" s="32">
        <v>2</v>
      </c>
      <c r="K261" s="33">
        <f>VLOOKUP(E261,照明設備稼働時間!$A$4:$F$72,5,FALSE)</f>
        <v>2187</v>
      </c>
      <c r="L261" s="33" t="str">
        <f t="shared" si="8"/>
        <v>FL40W2埋込W300</v>
      </c>
      <c r="M261" s="33">
        <f>VLOOKUP(L261,照明器具一覧!$B$4:$F$155,5,FALSE)</f>
        <v>94</v>
      </c>
      <c r="N261" s="7">
        <v>1</v>
      </c>
      <c r="O261" s="82">
        <f t="shared" si="9"/>
        <v>411.15600000000001</v>
      </c>
    </row>
    <row r="262" spans="1:15">
      <c r="A262" s="7" t="s">
        <v>803</v>
      </c>
      <c r="B262" s="6" t="s">
        <v>532</v>
      </c>
      <c r="C262" s="74" t="s">
        <v>120</v>
      </c>
      <c r="D262" s="75" t="s">
        <v>11</v>
      </c>
      <c r="E262" s="7" t="s">
        <v>509</v>
      </c>
      <c r="F262" s="76" t="s">
        <v>157</v>
      </c>
      <c r="G262" s="72" t="s">
        <v>38</v>
      </c>
      <c r="H262" s="34">
        <v>2</v>
      </c>
      <c r="I262" s="71" t="s">
        <v>359</v>
      </c>
      <c r="J262" s="32">
        <v>12</v>
      </c>
      <c r="K262" s="33">
        <f>VLOOKUP(E262,照明設備稼働時間!$A$4:$F$72,5,FALSE)</f>
        <v>4172</v>
      </c>
      <c r="L262" s="33" t="str">
        <f t="shared" si="8"/>
        <v>FL40W2埋込W300</v>
      </c>
      <c r="M262" s="33">
        <f>VLOOKUP(L262,照明器具一覧!$B$4:$F$155,5,FALSE)</f>
        <v>94</v>
      </c>
      <c r="N262" s="7">
        <v>1</v>
      </c>
      <c r="O262" s="82">
        <f t="shared" si="9"/>
        <v>4706.0159999999996</v>
      </c>
    </row>
    <row r="263" spans="1:15">
      <c r="A263" s="7" t="s">
        <v>804</v>
      </c>
      <c r="B263" s="6" t="s">
        <v>533</v>
      </c>
      <c r="C263" s="74" t="s">
        <v>120</v>
      </c>
      <c r="D263" s="75" t="s">
        <v>11</v>
      </c>
      <c r="E263" s="7" t="s">
        <v>509</v>
      </c>
      <c r="F263" s="76" t="s">
        <v>157</v>
      </c>
      <c r="G263" s="72" t="s">
        <v>328</v>
      </c>
      <c r="H263" s="34">
        <v>2</v>
      </c>
      <c r="I263" s="71" t="s">
        <v>329</v>
      </c>
      <c r="J263" s="32">
        <v>12</v>
      </c>
      <c r="K263" s="33">
        <f>VLOOKUP(E263,照明設備稼働時間!$A$4:$F$72,5,FALSE)</f>
        <v>4172</v>
      </c>
      <c r="L263" s="33" t="str">
        <f t="shared" si="8"/>
        <v>LED2直管LED　埋込W300</v>
      </c>
      <c r="M263" s="33">
        <f>VLOOKUP(L263,照明器具一覧!$B$4:$F$155,5,FALSE)</f>
        <v>40</v>
      </c>
      <c r="N263" s="7">
        <v>1</v>
      </c>
      <c r="O263" s="82">
        <f t="shared" si="9"/>
        <v>2002.56</v>
      </c>
    </row>
    <row r="264" spans="1:15">
      <c r="A264" s="7" t="s">
        <v>805</v>
      </c>
      <c r="B264" s="6" t="s">
        <v>532</v>
      </c>
      <c r="C264" s="74" t="s">
        <v>121</v>
      </c>
      <c r="D264" s="75" t="s">
        <v>11</v>
      </c>
      <c r="E264" s="7" t="s">
        <v>509</v>
      </c>
      <c r="F264" s="76" t="s">
        <v>157</v>
      </c>
      <c r="G264" s="72" t="s">
        <v>293</v>
      </c>
      <c r="H264" s="34">
        <v>2</v>
      </c>
      <c r="I264" s="71" t="s">
        <v>393</v>
      </c>
      <c r="J264" s="32">
        <v>5</v>
      </c>
      <c r="K264" s="33">
        <f>VLOOKUP(E264,照明設備稼働時間!$A$4:$F$72,5,FALSE)</f>
        <v>4172</v>
      </c>
      <c r="L264" s="33" t="str">
        <f t="shared" si="8"/>
        <v>FL40SW ＋PIL100V40WS35E172埋込W300　非常照明　電源別置</v>
      </c>
      <c r="M264" s="33">
        <f>VLOOKUP(L264,照明器具一覧!$B$4:$F$155,5,FALSE)</f>
        <v>94</v>
      </c>
      <c r="N264" s="7">
        <v>1</v>
      </c>
      <c r="O264" s="82">
        <f t="shared" si="9"/>
        <v>1960.84</v>
      </c>
    </row>
    <row r="265" spans="1:15">
      <c r="A265" s="7" t="s">
        <v>806</v>
      </c>
      <c r="B265" s="6" t="s">
        <v>533</v>
      </c>
      <c r="C265" s="74" t="s">
        <v>121</v>
      </c>
      <c r="D265" s="75" t="s">
        <v>11</v>
      </c>
      <c r="E265" s="7" t="s">
        <v>509</v>
      </c>
      <c r="F265" s="76" t="s">
        <v>157</v>
      </c>
      <c r="G265" s="72" t="s">
        <v>330</v>
      </c>
      <c r="H265" s="34">
        <v>2</v>
      </c>
      <c r="I265" s="71" t="s">
        <v>329</v>
      </c>
      <c r="J265" s="32">
        <v>3</v>
      </c>
      <c r="K265" s="33">
        <f>VLOOKUP(E265,照明設備稼働時間!$A$4:$F$72,5,FALSE)</f>
        <v>4172</v>
      </c>
      <c r="L265" s="33" t="str">
        <f t="shared" si="8"/>
        <v>LED ＋PIL100V40WS35E172直管LED　埋込W300</v>
      </c>
      <c r="M265" s="33">
        <f>VLOOKUP(L265,照明器具一覧!$B$4:$F$155,5,FALSE)</f>
        <v>40</v>
      </c>
      <c r="N265" s="7">
        <v>1</v>
      </c>
      <c r="O265" s="82">
        <f t="shared" si="9"/>
        <v>500.64</v>
      </c>
    </row>
    <row r="266" spans="1:15">
      <c r="A266" s="7" t="s">
        <v>807</v>
      </c>
      <c r="B266" s="6" t="s">
        <v>532</v>
      </c>
      <c r="C266" s="74" t="s">
        <v>46</v>
      </c>
      <c r="D266" s="75" t="s">
        <v>11</v>
      </c>
      <c r="E266" s="7" t="s">
        <v>1106</v>
      </c>
      <c r="F266" s="76" t="s">
        <v>158</v>
      </c>
      <c r="G266" s="72" t="s">
        <v>38</v>
      </c>
      <c r="H266" s="34">
        <v>2</v>
      </c>
      <c r="I266" s="71" t="s">
        <v>359</v>
      </c>
      <c r="J266" s="32">
        <v>9</v>
      </c>
      <c r="K266" s="33">
        <f>VLOOKUP(E266,照明設備稼働時間!$A$4:$F$72,5,FALSE)</f>
        <v>1236</v>
      </c>
      <c r="L266" s="33" t="str">
        <f t="shared" si="8"/>
        <v>FL40W2埋込W300</v>
      </c>
      <c r="M266" s="33">
        <f>VLOOKUP(L266,照明器具一覧!$B$4:$F$155,5,FALSE)</f>
        <v>94</v>
      </c>
      <c r="N266" s="7">
        <v>1</v>
      </c>
      <c r="O266" s="82">
        <f t="shared" si="9"/>
        <v>1045.6559999999999</v>
      </c>
    </row>
    <row r="267" spans="1:15">
      <c r="A267" s="7" t="s">
        <v>808</v>
      </c>
      <c r="B267" s="6" t="s">
        <v>532</v>
      </c>
      <c r="C267" s="74"/>
      <c r="D267" s="75" t="s">
        <v>11</v>
      </c>
      <c r="E267" s="7" t="s">
        <v>1106</v>
      </c>
      <c r="F267" s="76" t="s">
        <v>158</v>
      </c>
      <c r="G267" s="72" t="s">
        <v>40</v>
      </c>
      <c r="H267" s="34">
        <v>1</v>
      </c>
      <c r="I267" s="71" t="s">
        <v>372</v>
      </c>
      <c r="J267" s="32">
        <v>1</v>
      </c>
      <c r="K267" s="33">
        <f>VLOOKUP(E267,照明設備稼働時間!$A$4:$F$72,5,FALSE)</f>
        <v>1236</v>
      </c>
      <c r="L267" s="33" t="str">
        <f t="shared" si="8"/>
        <v>FL20W1ブラケット</v>
      </c>
      <c r="M267" s="33">
        <f>VLOOKUP(L267,照明器具一覧!$B$4:$F$155,5,FALSE)</f>
        <v>22</v>
      </c>
      <c r="N267" s="7">
        <v>1</v>
      </c>
      <c r="O267" s="82">
        <f t="shared" si="9"/>
        <v>27.192</v>
      </c>
    </row>
    <row r="268" spans="1:15">
      <c r="A268" s="7" t="s">
        <v>809</v>
      </c>
      <c r="B268" s="6" t="s">
        <v>532</v>
      </c>
      <c r="C268" s="74" t="s">
        <v>68</v>
      </c>
      <c r="D268" s="75" t="s">
        <v>11</v>
      </c>
      <c r="E268" s="7" t="s">
        <v>1106</v>
      </c>
      <c r="F268" s="76" t="s">
        <v>158</v>
      </c>
      <c r="G268" s="72" t="s">
        <v>293</v>
      </c>
      <c r="H268" s="34">
        <v>2</v>
      </c>
      <c r="I268" s="71" t="s">
        <v>393</v>
      </c>
      <c r="J268" s="32">
        <v>4</v>
      </c>
      <c r="K268" s="33">
        <f>VLOOKUP(E268,照明設備稼働時間!$A$4:$F$72,5,FALSE)</f>
        <v>1236</v>
      </c>
      <c r="L268" s="33" t="str">
        <f t="shared" si="8"/>
        <v>FL40SW ＋PIL100V40WS35E172埋込W300　非常照明　電源別置</v>
      </c>
      <c r="M268" s="33">
        <f>VLOOKUP(L268,照明器具一覧!$B$4:$F$155,5,FALSE)</f>
        <v>94</v>
      </c>
      <c r="N268" s="7">
        <v>1</v>
      </c>
      <c r="O268" s="82">
        <f t="shared" si="9"/>
        <v>464.73599999999999</v>
      </c>
    </row>
    <row r="269" spans="1:15">
      <c r="A269" s="7" t="s">
        <v>810</v>
      </c>
      <c r="B269" s="6" t="s">
        <v>532</v>
      </c>
      <c r="C269" s="74" t="s">
        <v>46</v>
      </c>
      <c r="D269" s="75" t="s">
        <v>11</v>
      </c>
      <c r="E269" s="7" t="s">
        <v>1116</v>
      </c>
      <c r="F269" s="76" t="s">
        <v>159</v>
      </c>
      <c r="G269" s="72" t="s">
        <v>38</v>
      </c>
      <c r="H269" s="34">
        <v>2</v>
      </c>
      <c r="I269" s="71" t="s">
        <v>359</v>
      </c>
      <c r="J269" s="32">
        <v>2</v>
      </c>
      <c r="K269" s="33">
        <f>VLOOKUP(E269,照明設備稼働時間!$A$4:$F$72,5,FALSE)</f>
        <v>730</v>
      </c>
      <c r="L269" s="33" t="str">
        <f t="shared" si="8"/>
        <v>FL40W2埋込W300</v>
      </c>
      <c r="M269" s="33">
        <f>VLOOKUP(L269,照明器具一覧!$B$4:$F$155,5,FALSE)</f>
        <v>94</v>
      </c>
      <c r="N269" s="7">
        <v>1</v>
      </c>
      <c r="O269" s="82">
        <f t="shared" si="9"/>
        <v>137.24</v>
      </c>
    </row>
    <row r="270" spans="1:15">
      <c r="A270" s="7" t="s">
        <v>811</v>
      </c>
      <c r="B270" s="6" t="s">
        <v>532</v>
      </c>
      <c r="C270" s="74" t="s">
        <v>68</v>
      </c>
      <c r="D270" s="75" t="s">
        <v>11</v>
      </c>
      <c r="E270" s="7" t="s">
        <v>1116</v>
      </c>
      <c r="F270" s="76" t="s">
        <v>159</v>
      </c>
      <c r="G270" s="72" t="s">
        <v>39</v>
      </c>
      <c r="H270" s="34">
        <v>2</v>
      </c>
      <c r="I270" s="71" t="s">
        <v>393</v>
      </c>
      <c r="J270" s="32">
        <v>1</v>
      </c>
      <c r="K270" s="33">
        <f>VLOOKUP(E270,照明設備稼働時間!$A$4:$F$72,5,FALSE)</f>
        <v>730</v>
      </c>
      <c r="L270" s="33" t="str">
        <f t="shared" si="8"/>
        <v>FL40SW ＋PIL100V40WS35E172埋込W300　非常照明　電源別置</v>
      </c>
      <c r="M270" s="33">
        <f>VLOOKUP(L270,照明器具一覧!$B$4:$F$155,5,FALSE)</f>
        <v>94</v>
      </c>
      <c r="N270" s="7">
        <v>1</v>
      </c>
      <c r="O270" s="82">
        <f t="shared" si="9"/>
        <v>68.62</v>
      </c>
    </row>
    <row r="271" spans="1:15">
      <c r="A271" s="7" t="s">
        <v>812</v>
      </c>
      <c r="B271" s="6" t="s">
        <v>532</v>
      </c>
      <c r="C271" s="74" t="s">
        <v>18</v>
      </c>
      <c r="D271" s="75" t="s">
        <v>11</v>
      </c>
      <c r="E271" s="7" t="s">
        <v>1100</v>
      </c>
      <c r="F271" s="76" t="s">
        <v>129</v>
      </c>
      <c r="G271" s="72" t="s">
        <v>38</v>
      </c>
      <c r="H271" s="34">
        <v>1</v>
      </c>
      <c r="I271" s="71" t="s">
        <v>373</v>
      </c>
      <c r="J271" s="32">
        <v>5</v>
      </c>
      <c r="K271" s="33">
        <f>VLOOKUP(E271,照明設備稼働時間!$A$4:$F$72,5,FALSE)</f>
        <v>618</v>
      </c>
      <c r="L271" s="33" t="str">
        <f t="shared" si="8"/>
        <v>FL40W1片反射</v>
      </c>
      <c r="M271" s="33">
        <f>VLOOKUP(L271,照明器具一覧!$B$4:$F$155,5,FALSE)</f>
        <v>47</v>
      </c>
      <c r="N271" s="7">
        <v>1</v>
      </c>
      <c r="O271" s="82">
        <f t="shared" si="9"/>
        <v>145.22999999999999</v>
      </c>
    </row>
    <row r="272" spans="1:15">
      <c r="A272" s="7" t="s">
        <v>813</v>
      </c>
      <c r="B272" s="6" t="s">
        <v>532</v>
      </c>
      <c r="C272" s="74" t="s">
        <v>21</v>
      </c>
      <c r="D272" s="75" t="s">
        <v>11</v>
      </c>
      <c r="E272" s="7" t="s">
        <v>1100</v>
      </c>
      <c r="F272" s="76" t="s">
        <v>129</v>
      </c>
      <c r="G272" s="72" t="s">
        <v>38</v>
      </c>
      <c r="H272" s="34">
        <v>1</v>
      </c>
      <c r="I272" s="71" t="s">
        <v>399</v>
      </c>
      <c r="J272" s="32">
        <v>3</v>
      </c>
      <c r="K272" s="33">
        <f>VLOOKUP(E272,照明設備稼働時間!$A$4:$F$72,5,FALSE)</f>
        <v>618</v>
      </c>
      <c r="L272" s="33" t="str">
        <f t="shared" si="8"/>
        <v>FL40W1笠付　パイプ吊</v>
      </c>
      <c r="M272" s="33">
        <f>VLOOKUP(L272,照明器具一覧!$B$4:$F$155,5,FALSE)</f>
        <v>47</v>
      </c>
      <c r="N272" s="7">
        <v>1</v>
      </c>
      <c r="O272" s="82">
        <f t="shared" si="9"/>
        <v>87.138000000000005</v>
      </c>
    </row>
    <row r="273" spans="1:15">
      <c r="A273" s="7" t="s">
        <v>814</v>
      </c>
      <c r="B273" s="6" t="s">
        <v>533</v>
      </c>
      <c r="C273" s="74" t="s">
        <v>46</v>
      </c>
      <c r="D273" s="75" t="s">
        <v>11</v>
      </c>
      <c r="E273" s="7" t="s">
        <v>1071</v>
      </c>
      <c r="F273" s="76" t="s">
        <v>160</v>
      </c>
      <c r="G273" s="72" t="s">
        <v>328</v>
      </c>
      <c r="H273" s="34">
        <v>2</v>
      </c>
      <c r="I273" s="71" t="s">
        <v>331</v>
      </c>
      <c r="J273" s="32">
        <v>1</v>
      </c>
      <c r="K273" s="33">
        <f>VLOOKUP(E273,照明設備稼働時間!$A$4:$F$72,5,FALSE)</f>
        <v>4017</v>
      </c>
      <c r="L273" s="33" t="str">
        <f t="shared" si="8"/>
        <v>LED2直管LED　埋込W200</v>
      </c>
      <c r="M273" s="33">
        <f>VLOOKUP(L273,照明器具一覧!$B$4:$F$155,5,FALSE)</f>
        <v>40</v>
      </c>
      <c r="N273" s="7">
        <v>1</v>
      </c>
      <c r="O273" s="82">
        <f t="shared" si="9"/>
        <v>160.68</v>
      </c>
    </row>
    <row r="274" spans="1:15">
      <c r="A274" s="7" t="s">
        <v>815</v>
      </c>
      <c r="B274" s="6" t="s">
        <v>533</v>
      </c>
      <c r="C274" s="74" t="s">
        <v>68</v>
      </c>
      <c r="D274" s="75" t="s">
        <v>11</v>
      </c>
      <c r="E274" s="7" t="s">
        <v>1071</v>
      </c>
      <c r="F274" s="76" t="s">
        <v>160</v>
      </c>
      <c r="G274" s="72" t="s">
        <v>330</v>
      </c>
      <c r="H274" s="34">
        <v>2</v>
      </c>
      <c r="I274" s="71" t="s">
        <v>331</v>
      </c>
      <c r="J274" s="32">
        <v>1</v>
      </c>
      <c r="K274" s="33">
        <f>VLOOKUP(E274,照明設備稼働時間!$A$4:$F$72,5,FALSE)</f>
        <v>4017</v>
      </c>
      <c r="L274" s="33" t="str">
        <f t="shared" si="8"/>
        <v>LED ＋PIL100V40WS35E172直管LED　埋込W200</v>
      </c>
      <c r="M274" s="33">
        <f>VLOOKUP(L274,照明器具一覧!$B$4:$F$155,5,FALSE)</f>
        <v>40</v>
      </c>
      <c r="N274" s="7">
        <v>1</v>
      </c>
      <c r="O274" s="82">
        <f t="shared" si="9"/>
        <v>160.68</v>
      </c>
    </row>
    <row r="275" spans="1:15">
      <c r="A275" s="7" t="s">
        <v>816</v>
      </c>
      <c r="B275" s="6" t="s">
        <v>533</v>
      </c>
      <c r="C275" s="74" t="s">
        <v>68</v>
      </c>
      <c r="D275" s="75" t="s">
        <v>11</v>
      </c>
      <c r="E275" s="7" t="s">
        <v>1071</v>
      </c>
      <c r="F275" s="76" t="s">
        <v>161</v>
      </c>
      <c r="G275" s="72" t="s">
        <v>330</v>
      </c>
      <c r="H275" s="34">
        <v>2</v>
      </c>
      <c r="I275" s="71" t="s">
        <v>329</v>
      </c>
      <c r="J275" s="32">
        <v>1</v>
      </c>
      <c r="K275" s="33">
        <f>VLOOKUP(E275,照明設備稼働時間!$A$4:$F$72,5,FALSE)</f>
        <v>4017</v>
      </c>
      <c r="L275" s="33" t="str">
        <f t="shared" si="8"/>
        <v>LED ＋PIL100V40WS35E172直管LED　埋込W300</v>
      </c>
      <c r="M275" s="33">
        <f>VLOOKUP(L275,照明器具一覧!$B$4:$F$155,5,FALSE)</f>
        <v>40</v>
      </c>
      <c r="N275" s="7">
        <v>1</v>
      </c>
      <c r="O275" s="82">
        <f t="shared" si="9"/>
        <v>160.68</v>
      </c>
    </row>
    <row r="276" spans="1:15">
      <c r="A276" s="7" t="s">
        <v>817</v>
      </c>
      <c r="B276" s="6" t="s">
        <v>533</v>
      </c>
      <c r="C276" s="74" t="s">
        <v>68</v>
      </c>
      <c r="D276" s="75" t="s">
        <v>11</v>
      </c>
      <c r="E276" s="7" t="s">
        <v>1071</v>
      </c>
      <c r="F276" s="76" t="s">
        <v>162</v>
      </c>
      <c r="G276" s="72" t="s">
        <v>330</v>
      </c>
      <c r="H276" s="34">
        <v>2</v>
      </c>
      <c r="I276" s="71" t="s">
        <v>329</v>
      </c>
      <c r="J276" s="32">
        <v>1</v>
      </c>
      <c r="K276" s="33">
        <f>VLOOKUP(E276,照明設備稼働時間!$A$4:$F$72,5,FALSE)</f>
        <v>4017</v>
      </c>
      <c r="L276" s="33" t="str">
        <f t="shared" si="8"/>
        <v>LED ＋PIL100V40WS35E172直管LED　埋込W300</v>
      </c>
      <c r="M276" s="33">
        <f>VLOOKUP(L276,照明器具一覧!$B$4:$F$155,5,FALSE)</f>
        <v>40</v>
      </c>
      <c r="N276" s="7">
        <v>1</v>
      </c>
      <c r="O276" s="82">
        <f t="shared" si="9"/>
        <v>160.68</v>
      </c>
    </row>
    <row r="277" spans="1:15">
      <c r="A277" s="7" t="s">
        <v>818</v>
      </c>
      <c r="B277" s="6" t="s">
        <v>533</v>
      </c>
      <c r="C277" s="74" t="s">
        <v>46</v>
      </c>
      <c r="D277" s="75" t="s">
        <v>11</v>
      </c>
      <c r="E277" s="7" t="s">
        <v>1071</v>
      </c>
      <c r="F277" s="76" t="s">
        <v>163</v>
      </c>
      <c r="G277" s="72" t="s">
        <v>328</v>
      </c>
      <c r="H277" s="34">
        <v>2</v>
      </c>
      <c r="I277" s="71" t="s">
        <v>331</v>
      </c>
      <c r="J277" s="32">
        <v>4</v>
      </c>
      <c r="K277" s="33">
        <f>VLOOKUP(E277,照明設備稼働時間!$A$4:$F$72,5,FALSE)</f>
        <v>4017</v>
      </c>
      <c r="L277" s="33" t="str">
        <f t="shared" si="8"/>
        <v>LED2直管LED　埋込W200</v>
      </c>
      <c r="M277" s="33">
        <f>VLOOKUP(L277,照明器具一覧!$B$4:$F$155,5,FALSE)</f>
        <v>40</v>
      </c>
      <c r="N277" s="7">
        <v>1</v>
      </c>
      <c r="O277" s="82">
        <f t="shared" si="9"/>
        <v>642.72</v>
      </c>
    </row>
    <row r="278" spans="1:15">
      <c r="A278" s="7" t="s">
        <v>819</v>
      </c>
      <c r="B278" s="6" t="s">
        <v>532</v>
      </c>
      <c r="C278" s="74" t="s">
        <v>47</v>
      </c>
      <c r="D278" s="75" t="s">
        <v>11</v>
      </c>
      <c r="E278" s="7" t="s">
        <v>509</v>
      </c>
      <c r="F278" s="76" t="s">
        <v>268</v>
      </c>
      <c r="G278" s="72" t="s">
        <v>332</v>
      </c>
      <c r="H278" s="34">
        <v>2</v>
      </c>
      <c r="I278" s="71" t="s">
        <v>393</v>
      </c>
      <c r="J278" s="32">
        <v>2</v>
      </c>
      <c r="K278" s="33">
        <f>VLOOKUP(E278,照明設備稼働時間!$A$4:$F$72,5,FALSE)</f>
        <v>4172</v>
      </c>
      <c r="L278" s="33" t="str">
        <f t="shared" si="8"/>
        <v>FL20W ＋PIL100V40WS35E172埋込W300　非常照明　電源別置</v>
      </c>
      <c r="M278" s="33">
        <f>VLOOKUP(L278,照明器具一覧!$B$4:$F$155,5,FALSE)</f>
        <v>44</v>
      </c>
      <c r="N278" s="7">
        <v>1</v>
      </c>
      <c r="O278" s="82">
        <f t="shared" si="9"/>
        <v>367.13600000000002</v>
      </c>
    </row>
    <row r="279" spans="1:15">
      <c r="A279" s="7" t="s">
        <v>820</v>
      </c>
      <c r="B279" s="6" t="s">
        <v>532</v>
      </c>
      <c r="C279" s="74" t="s">
        <v>288</v>
      </c>
      <c r="D279" s="75" t="s">
        <v>11</v>
      </c>
      <c r="E279" s="7" t="s">
        <v>1107</v>
      </c>
      <c r="F279" s="76" t="s">
        <v>164</v>
      </c>
      <c r="G279" s="72" t="s">
        <v>290</v>
      </c>
      <c r="H279" s="34">
        <v>2</v>
      </c>
      <c r="I279" s="71" t="s">
        <v>409</v>
      </c>
      <c r="J279" s="32">
        <v>9</v>
      </c>
      <c r="K279" s="33">
        <f>VLOOKUP(E279,照明設備稼働時間!$A$4:$F$72,5,FALSE)</f>
        <v>1236</v>
      </c>
      <c r="L279" s="33" t="str">
        <f t="shared" si="8"/>
        <v>FL40SW2埋込W220</v>
      </c>
      <c r="M279" s="33">
        <f>VLOOKUP(L279,照明器具一覧!$B$4:$F$155,5,FALSE)</f>
        <v>94</v>
      </c>
      <c r="N279" s="7">
        <v>1</v>
      </c>
      <c r="O279" s="82">
        <f t="shared" si="9"/>
        <v>1045.6559999999999</v>
      </c>
    </row>
    <row r="280" spans="1:15">
      <c r="A280" s="7" t="s">
        <v>821</v>
      </c>
      <c r="B280" s="6" t="s">
        <v>532</v>
      </c>
      <c r="C280" s="74" t="s">
        <v>46</v>
      </c>
      <c r="D280" s="75" t="s">
        <v>11</v>
      </c>
      <c r="E280" s="7" t="s">
        <v>1067</v>
      </c>
      <c r="F280" s="76" t="s">
        <v>165</v>
      </c>
      <c r="G280" s="72" t="s">
        <v>38</v>
      </c>
      <c r="H280" s="34">
        <v>2</v>
      </c>
      <c r="I280" s="71" t="s">
        <v>359</v>
      </c>
      <c r="J280" s="32">
        <v>11</v>
      </c>
      <c r="K280" s="33">
        <f>VLOOKUP(E280,照明設備稼働時間!$A$4:$F$72,5,FALSE)</f>
        <v>309</v>
      </c>
      <c r="L280" s="33" t="str">
        <f t="shared" si="8"/>
        <v>FL40W2埋込W300</v>
      </c>
      <c r="M280" s="33">
        <f>VLOOKUP(L280,照明器具一覧!$B$4:$F$155,5,FALSE)</f>
        <v>94</v>
      </c>
      <c r="N280" s="7">
        <v>1</v>
      </c>
      <c r="O280" s="82">
        <f t="shared" si="9"/>
        <v>319.50599999999997</v>
      </c>
    </row>
    <row r="281" spans="1:15">
      <c r="A281" s="7" t="s">
        <v>822</v>
      </c>
      <c r="B281" s="6" t="s">
        <v>532</v>
      </c>
      <c r="C281" s="74" t="s">
        <v>68</v>
      </c>
      <c r="D281" s="75" t="s">
        <v>11</v>
      </c>
      <c r="E281" s="7" t="s">
        <v>1067</v>
      </c>
      <c r="F281" s="76" t="s">
        <v>165</v>
      </c>
      <c r="G281" s="72" t="s">
        <v>39</v>
      </c>
      <c r="H281" s="34">
        <v>2</v>
      </c>
      <c r="I281" s="71" t="s">
        <v>393</v>
      </c>
      <c r="J281" s="32">
        <v>4</v>
      </c>
      <c r="K281" s="33">
        <f>VLOOKUP(E281,照明設備稼働時間!$A$4:$F$72,5,FALSE)</f>
        <v>309</v>
      </c>
      <c r="L281" s="33" t="str">
        <f t="shared" si="8"/>
        <v>FL40SW ＋PIL100V40WS35E172埋込W300　非常照明　電源別置</v>
      </c>
      <c r="M281" s="33">
        <f>VLOOKUP(L281,照明器具一覧!$B$4:$F$155,5,FALSE)</f>
        <v>94</v>
      </c>
      <c r="N281" s="7">
        <v>1</v>
      </c>
      <c r="O281" s="82">
        <f t="shared" si="9"/>
        <v>116.184</v>
      </c>
    </row>
    <row r="282" spans="1:15">
      <c r="A282" s="7" t="s">
        <v>823</v>
      </c>
      <c r="B282" s="6" t="s">
        <v>532</v>
      </c>
      <c r="C282" s="74" t="s">
        <v>46</v>
      </c>
      <c r="D282" s="75" t="s">
        <v>11</v>
      </c>
      <c r="E282" s="7" t="s">
        <v>1067</v>
      </c>
      <c r="F282" s="76" t="s">
        <v>165</v>
      </c>
      <c r="G282" s="72" t="s">
        <v>38</v>
      </c>
      <c r="H282" s="34">
        <v>2</v>
      </c>
      <c r="I282" s="71" t="s">
        <v>359</v>
      </c>
      <c r="J282" s="32">
        <v>2</v>
      </c>
      <c r="K282" s="33">
        <f>VLOOKUP(E282,照明設備稼働時間!$A$4:$F$72,5,FALSE)</f>
        <v>309</v>
      </c>
      <c r="L282" s="33" t="str">
        <f t="shared" si="8"/>
        <v>FL40W2埋込W300</v>
      </c>
      <c r="M282" s="33">
        <f>VLOOKUP(L282,照明器具一覧!$B$4:$F$155,5,FALSE)</f>
        <v>94</v>
      </c>
      <c r="N282" s="7">
        <v>1</v>
      </c>
      <c r="O282" s="82">
        <f t="shared" si="9"/>
        <v>58.091999999999999</v>
      </c>
    </row>
    <row r="283" spans="1:15">
      <c r="A283" s="7" t="s">
        <v>824</v>
      </c>
      <c r="B283" s="6" t="s">
        <v>532</v>
      </c>
      <c r="C283" s="74" t="s">
        <v>68</v>
      </c>
      <c r="D283" s="75" t="s">
        <v>11</v>
      </c>
      <c r="E283" s="7" t="s">
        <v>1066</v>
      </c>
      <c r="F283" s="76" t="s">
        <v>166</v>
      </c>
      <c r="G283" s="72" t="s">
        <v>39</v>
      </c>
      <c r="H283" s="34">
        <v>2</v>
      </c>
      <c r="I283" s="71" t="s">
        <v>393</v>
      </c>
      <c r="J283" s="32">
        <v>2</v>
      </c>
      <c r="K283" s="33">
        <f>VLOOKUP(E283,照明設備稼働時間!$A$4:$F$72,5,FALSE)</f>
        <v>309</v>
      </c>
      <c r="L283" s="33" t="str">
        <f t="shared" si="8"/>
        <v>FL40SW ＋PIL100V40WS35E172埋込W300　非常照明　電源別置</v>
      </c>
      <c r="M283" s="33">
        <f>VLOOKUP(L283,照明器具一覧!$B$4:$F$155,5,FALSE)</f>
        <v>94</v>
      </c>
      <c r="N283" s="7">
        <v>1</v>
      </c>
      <c r="O283" s="82">
        <f t="shared" si="9"/>
        <v>58.091999999999999</v>
      </c>
    </row>
    <row r="284" spans="1:15">
      <c r="A284" s="7" t="s">
        <v>825</v>
      </c>
      <c r="B284" s="6" t="s">
        <v>532</v>
      </c>
      <c r="C284" s="74" t="s">
        <v>46</v>
      </c>
      <c r="D284" s="75" t="s">
        <v>11</v>
      </c>
      <c r="E284" s="7" t="s">
        <v>1066</v>
      </c>
      <c r="F284" s="76" t="s">
        <v>166</v>
      </c>
      <c r="G284" s="72" t="s">
        <v>38</v>
      </c>
      <c r="H284" s="34">
        <v>2</v>
      </c>
      <c r="I284" s="71" t="s">
        <v>359</v>
      </c>
      <c r="J284" s="32">
        <v>4</v>
      </c>
      <c r="K284" s="33">
        <f>VLOOKUP(E284,照明設備稼働時間!$A$4:$F$72,5,FALSE)</f>
        <v>309</v>
      </c>
      <c r="L284" s="33" t="str">
        <f t="shared" si="8"/>
        <v>FL40W2埋込W300</v>
      </c>
      <c r="M284" s="33">
        <f>VLOOKUP(L284,照明器具一覧!$B$4:$F$155,5,FALSE)</f>
        <v>94</v>
      </c>
      <c r="N284" s="7">
        <v>1</v>
      </c>
      <c r="O284" s="82">
        <f t="shared" si="9"/>
        <v>116.184</v>
      </c>
    </row>
    <row r="285" spans="1:15">
      <c r="A285" s="7" t="s">
        <v>826</v>
      </c>
      <c r="B285" s="6" t="s">
        <v>532</v>
      </c>
      <c r="C285" s="74" t="s">
        <v>281</v>
      </c>
      <c r="D285" s="75" t="s">
        <v>11</v>
      </c>
      <c r="E285" s="7" t="s">
        <v>509</v>
      </c>
      <c r="F285" s="76" t="s">
        <v>36</v>
      </c>
      <c r="G285" s="72" t="s">
        <v>41</v>
      </c>
      <c r="H285" s="34">
        <v>2</v>
      </c>
      <c r="I285" s="71" t="s">
        <v>360</v>
      </c>
      <c r="J285" s="32">
        <v>6</v>
      </c>
      <c r="K285" s="33">
        <f>VLOOKUP(E285,照明設備稼働時間!$A$4:$F$72,5,FALSE)</f>
        <v>4172</v>
      </c>
      <c r="L285" s="33" t="str">
        <f t="shared" si="8"/>
        <v>FPL28EXN 2埋込　スクエア□350</v>
      </c>
      <c r="M285" s="33">
        <f>VLOOKUP(L285,照明器具一覧!$B$4:$F$155,5,FALSE)</f>
        <v>33</v>
      </c>
      <c r="N285" s="7">
        <v>0.5</v>
      </c>
      <c r="O285" s="82">
        <f t="shared" si="9"/>
        <v>413.02800000000002</v>
      </c>
    </row>
    <row r="286" spans="1:15">
      <c r="A286" s="7" t="s">
        <v>827</v>
      </c>
      <c r="B286" s="6" t="s">
        <v>532</v>
      </c>
      <c r="C286" s="74" t="s">
        <v>51</v>
      </c>
      <c r="D286" s="75" t="s">
        <v>11</v>
      </c>
      <c r="E286" s="7" t="s">
        <v>511</v>
      </c>
      <c r="F286" s="76" t="s">
        <v>135</v>
      </c>
      <c r="G286" s="72" t="s">
        <v>40</v>
      </c>
      <c r="H286" s="34">
        <v>2</v>
      </c>
      <c r="I286" s="71" t="s">
        <v>359</v>
      </c>
      <c r="J286" s="32">
        <v>1</v>
      </c>
      <c r="K286" s="33">
        <f>VLOOKUP(E286,照明設備稼働時間!$A$4:$F$72,5,FALSE)</f>
        <v>618</v>
      </c>
      <c r="L286" s="33" t="str">
        <f t="shared" si="8"/>
        <v>FL20W2埋込W300</v>
      </c>
      <c r="M286" s="33">
        <f>VLOOKUP(L286,照明器具一覧!$B$4:$F$155,5,FALSE)</f>
        <v>44</v>
      </c>
      <c r="N286" s="7">
        <v>1</v>
      </c>
      <c r="O286" s="82">
        <f t="shared" si="9"/>
        <v>27.192</v>
      </c>
    </row>
    <row r="287" spans="1:15">
      <c r="A287" s="7" t="s">
        <v>828</v>
      </c>
      <c r="B287" s="6" t="s">
        <v>532</v>
      </c>
      <c r="C287" s="74" t="s">
        <v>310</v>
      </c>
      <c r="D287" s="75" t="s">
        <v>11</v>
      </c>
      <c r="E287" s="7" t="s">
        <v>511</v>
      </c>
      <c r="F287" s="76" t="s">
        <v>135</v>
      </c>
      <c r="G287" s="72" t="s">
        <v>40</v>
      </c>
      <c r="H287" s="34">
        <v>1</v>
      </c>
      <c r="I287" s="71" t="s">
        <v>402</v>
      </c>
      <c r="J287" s="32">
        <v>1</v>
      </c>
      <c r="K287" s="33">
        <f>VLOOKUP(E287,照明設備稼働時間!$A$4:$F$72,5,FALSE)</f>
        <v>618</v>
      </c>
      <c r="L287" s="33" t="str">
        <f t="shared" si="8"/>
        <v>FL20W1流し元灯</v>
      </c>
      <c r="M287" s="33">
        <f>VLOOKUP(L287,照明器具一覧!$B$4:$F$155,5,FALSE)</f>
        <v>22</v>
      </c>
      <c r="N287" s="7">
        <v>1</v>
      </c>
      <c r="O287" s="82">
        <f t="shared" si="9"/>
        <v>13.596</v>
      </c>
    </row>
    <row r="288" spans="1:15">
      <c r="A288" s="7" t="s">
        <v>829</v>
      </c>
      <c r="B288" s="6" t="s">
        <v>532</v>
      </c>
      <c r="C288" s="74" t="s">
        <v>45</v>
      </c>
      <c r="D288" s="75" t="s">
        <v>11</v>
      </c>
      <c r="E288" s="7" t="s">
        <v>509</v>
      </c>
      <c r="F288" s="76" t="s">
        <v>136</v>
      </c>
      <c r="G288" s="72" t="s">
        <v>104</v>
      </c>
      <c r="H288" s="34">
        <v>1</v>
      </c>
      <c r="I288" s="71" t="s">
        <v>367</v>
      </c>
      <c r="J288" s="32">
        <v>1</v>
      </c>
      <c r="K288" s="33">
        <f>VLOOKUP(E288,照明設備稼働時間!$A$4:$F$72,5,FALSE)</f>
        <v>4172</v>
      </c>
      <c r="L288" s="33" t="str">
        <f t="shared" si="8"/>
        <v>FDL18EX-N1ダウンライト　φ150</v>
      </c>
      <c r="M288" s="33">
        <f>VLOOKUP(L288,照明器具一覧!$B$4:$F$155,5,FALSE)</f>
        <v>22</v>
      </c>
      <c r="N288" s="7">
        <v>1</v>
      </c>
      <c r="O288" s="82">
        <f t="shared" si="9"/>
        <v>91.784000000000006</v>
      </c>
    </row>
    <row r="289" spans="1:15">
      <c r="A289" s="7" t="s">
        <v>830</v>
      </c>
      <c r="B289" s="6" t="s">
        <v>532</v>
      </c>
      <c r="C289" s="74" t="s">
        <v>125</v>
      </c>
      <c r="D289" s="75" t="s">
        <v>11</v>
      </c>
      <c r="E289" s="7" t="s">
        <v>1098</v>
      </c>
      <c r="F289" s="76" t="s">
        <v>88</v>
      </c>
      <c r="G289" s="72" t="s">
        <v>40</v>
      </c>
      <c r="H289" s="34">
        <v>1</v>
      </c>
      <c r="I289" s="71" t="s">
        <v>403</v>
      </c>
      <c r="J289" s="32">
        <v>1</v>
      </c>
      <c r="K289" s="33">
        <f>VLOOKUP(E289,照明設備稼働時間!$A$4:$F$72,5,FALSE)</f>
        <v>1854</v>
      </c>
      <c r="L289" s="33" t="str">
        <f t="shared" si="8"/>
        <v>FL20W1埋込W190</v>
      </c>
      <c r="M289" s="33">
        <f>VLOOKUP(L289,照明器具一覧!$B$4:$F$155,5,FALSE)</f>
        <v>22</v>
      </c>
      <c r="N289" s="7">
        <v>1</v>
      </c>
      <c r="O289" s="82">
        <f t="shared" si="9"/>
        <v>40.787999999999997</v>
      </c>
    </row>
    <row r="290" spans="1:15">
      <c r="A290" s="7" t="s">
        <v>831</v>
      </c>
      <c r="B290" s="6" t="s">
        <v>532</v>
      </c>
      <c r="C290" s="74" t="s">
        <v>45</v>
      </c>
      <c r="D290" s="75" t="s">
        <v>11</v>
      </c>
      <c r="E290" s="7" t="s">
        <v>1098</v>
      </c>
      <c r="F290" s="76" t="s">
        <v>88</v>
      </c>
      <c r="G290" s="72" t="s">
        <v>104</v>
      </c>
      <c r="H290" s="34">
        <v>1</v>
      </c>
      <c r="I290" s="71" t="s">
        <v>367</v>
      </c>
      <c r="J290" s="32">
        <v>2</v>
      </c>
      <c r="K290" s="33">
        <f>VLOOKUP(E290,照明設備稼働時間!$A$4:$F$72,5,FALSE)</f>
        <v>1854</v>
      </c>
      <c r="L290" s="33" t="str">
        <f t="shared" si="8"/>
        <v>FDL18EX-N1ダウンライト　φ150</v>
      </c>
      <c r="M290" s="33">
        <f>VLOOKUP(L290,照明器具一覧!$B$4:$F$155,5,FALSE)</f>
        <v>22</v>
      </c>
      <c r="N290" s="7">
        <v>1</v>
      </c>
      <c r="O290" s="82">
        <f t="shared" si="9"/>
        <v>81.575999999999993</v>
      </c>
    </row>
    <row r="291" spans="1:15">
      <c r="A291" s="7" t="s">
        <v>832</v>
      </c>
      <c r="B291" s="6" t="s">
        <v>532</v>
      </c>
      <c r="C291" s="74" t="s">
        <v>55</v>
      </c>
      <c r="D291" s="75" t="s">
        <v>11</v>
      </c>
      <c r="E291" s="7" t="s">
        <v>1098</v>
      </c>
      <c r="F291" s="76" t="s">
        <v>88</v>
      </c>
      <c r="G291" s="72" t="s">
        <v>38</v>
      </c>
      <c r="H291" s="34">
        <v>1</v>
      </c>
      <c r="I291" s="71" t="s">
        <v>357</v>
      </c>
      <c r="J291" s="32">
        <v>3</v>
      </c>
      <c r="K291" s="33">
        <f>VLOOKUP(E291,照明設備稼働時間!$A$4:$F$72,5,FALSE)</f>
        <v>1854</v>
      </c>
      <c r="L291" s="33" t="str">
        <f t="shared" si="8"/>
        <v>FL40W1トラフ</v>
      </c>
      <c r="M291" s="33">
        <f>VLOOKUP(L291,照明器具一覧!$B$4:$F$155,5,FALSE)</f>
        <v>47</v>
      </c>
      <c r="N291" s="7">
        <v>1</v>
      </c>
      <c r="O291" s="82">
        <f t="shared" si="9"/>
        <v>261.41399999999999</v>
      </c>
    </row>
    <row r="292" spans="1:15">
      <c r="A292" s="7" t="s">
        <v>833</v>
      </c>
      <c r="B292" s="6" t="s">
        <v>532</v>
      </c>
      <c r="C292" s="74" t="s">
        <v>55</v>
      </c>
      <c r="D292" s="75" t="s">
        <v>11</v>
      </c>
      <c r="E292" s="7" t="s">
        <v>1098</v>
      </c>
      <c r="F292" s="76" t="s">
        <v>87</v>
      </c>
      <c r="G292" s="72" t="s">
        <v>38</v>
      </c>
      <c r="H292" s="34">
        <v>1</v>
      </c>
      <c r="I292" s="71" t="s">
        <v>357</v>
      </c>
      <c r="J292" s="32">
        <v>2</v>
      </c>
      <c r="K292" s="33">
        <f>VLOOKUP(E292,照明設備稼働時間!$A$4:$F$72,5,FALSE)</f>
        <v>1854</v>
      </c>
      <c r="L292" s="33" t="str">
        <f t="shared" si="8"/>
        <v>FL40W1トラフ</v>
      </c>
      <c r="M292" s="33">
        <f>VLOOKUP(L292,照明器具一覧!$B$4:$F$155,5,FALSE)</f>
        <v>47</v>
      </c>
      <c r="N292" s="7">
        <v>1</v>
      </c>
      <c r="O292" s="82">
        <f t="shared" si="9"/>
        <v>174.27600000000001</v>
      </c>
    </row>
    <row r="293" spans="1:15">
      <c r="A293" s="7" t="s">
        <v>834</v>
      </c>
      <c r="B293" s="6" t="s">
        <v>532</v>
      </c>
      <c r="C293" s="74" t="s">
        <v>50</v>
      </c>
      <c r="D293" s="75" t="s">
        <v>11</v>
      </c>
      <c r="E293" s="7" t="s">
        <v>1098</v>
      </c>
      <c r="F293" s="76" t="s">
        <v>87</v>
      </c>
      <c r="G293" s="72" t="s">
        <v>38</v>
      </c>
      <c r="H293" s="34">
        <v>1</v>
      </c>
      <c r="I293" s="71" t="s">
        <v>371</v>
      </c>
      <c r="J293" s="32">
        <v>1</v>
      </c>
      <c r="K293" s="33">
        <f>VLOOKUP(E293,照明設備稼働時間!$A$4:$F$72,5,FALSE)</f>
        <v>1854</v>
      </c>
      <c r="L293" s="33" t="str">
        <f t="shared" si="8"/>
        <v>FL40W1埋込W220</v>
      </c>
      <c r="M293" s="33">
        <f>VLOOKUP(L293,照明器具一覧!$B$4:$F$155,5,FALSE)</f>
        <v>47</v>
      </c>
      <c r="N293" s="7">
        <v>1</v>
      </c>
      <c r="O293" s="82">
        <f t="shared" si="9"/>
        <v>87.138000000000005</v>
      </c>
    </row>
    <row r="294" spans="1:15">
      <c r="A294" s="7" t="s">
        <v>835</v>
      </c>
      <c r="B294" s="6" t="s">
        <v>532</v>
      </c>
      <c r="C294" s="74" t="s">
        <v>45</v>
      </c>
      <c r="D294" s="75" t="s">
        <v>11</v>
      </c>
      <c r="E294" s="7" t="s">
        <v>1098</v>
      </c>
      <c r="F294" s="76" t="s">
        <v>87</v>
      </c>
      <c r="G294" s="72" t="s">
        <v>104</v>
      </c>
      <c r="H294" s="34">
        <v>1</v>
      </c>
      <c r="I294" s="71" t="s">
        <v>367</v>
      </c>
      <c r="J294" s="32">
        <v>2</v>
      </c>
      <c r="K294" s="33">
        <f>VLOOKUP(E294,照明設備稼働時間!$A$4:$F$72,5,FALSE)</f>
        <v>1854</v>
      </c>
      <c r="L294" s="33" t="str">
        <f t="shared" si="8"/>
        <v>FDL18EX-N1ダウンライト　φ150</v>
      </c>
      <c r="M294" s="33">
        <f>VLOOKUP(L294,照明器具一覧!$B$4:$F$155,5,FALSE)</f>
        <v>22</v>
      </c>
      <c r="N294" s="7">
        <v>1</v>
      </c>
      <c r="O294" s="82">
        <f t="shared" si="9"/>
        <v>81.575999999999993</v>
      </c>
    </row>
    <row r="295" spans="1:15">
      <c r="A295" s="7" t="s">
        <v>836</v>
      </c>
      <c r="B295" s="6" t="s">
        <v>532</v>
      </c>
      <c r="C295" s="74" t="s">
        <v>68</v>
      </c>
      <c r="D295" s="75" t="s">
        <v>11</v>
      </c>
      <c r="E295" s="7" t="s">
        <v>167</v>
      </c>
      <c r="F295" s="76" t="s">
        <v>167</v>
      </c>
      <c r="G295" s="72" t="s">
        <v>39</v>
      </c>
      <c r="H295" s="34">
        <v>2</v>
      </c>
      <c r="I295" s="71" t="s">
        <v>393</v>
      </c>
      <c r="J295" s="32">
        <v>4</v>
      </c>
      <c r="K295" s="33">
        <f>VLOOKUP(E295,照明設備稼働時間!$A$4:$F$72,5,FALSE)</f>
        <v>927</v>
      </c>
      <c r="L295" s="33" t="str">
        <f t="shared" si="8"/>
        <v>FL40SW ＋PIL100V40WS35E172埋込W300　非常照明　電源別置</v>
      </c>
      <c r="M295" s="33">
        <f>VLOOKUP(L295,照明器具一覧!$B$4:$F$155,5,FALSE)</f>
        <v>94</v>
      </c>
      <c r="N295" s="7">
        <v>1</v>
      </c>
      <c r="O295" s="82">
        <f t="shared" si="9"/>
        <v>348.55200000000002</v>
      </c>
    </row>
    <row r="296" spans="1:15">
      <c r="A296" s="7" t="s">
        <v>837</v>
      </c>
      <c r="B296" s="6" t="s">
        <v>532</v>
      </c>
      <c r="C296" s="74" t="s">
        <v>46</v>
      </c>
      <c r="D296" s="75" t="s">
        <v>11</v>
      </c>
      <c r="E296" s="7" t="s">
        <v>167</v>
      </c>
      <c r="F296" s="76" t="s">
        <v>167</v>
      </c>
      <c r="G296" s="72" t="s">
        <v>38</v>
      </c>
      <c r="H296" s="34">
        <v>2</v>
      </c>
      <c r="I296" s="71" t="s">
        <v>359</v>
      </c>
      <c r="J296" s="32">
        <v>6</v>
      </c>
      <c r="K296" s="33">
        <f>VLOOKUP(E296,照明設備稼働時間!$A$4:$F$72,5,FALSE)</f>
        <v>927</v>
      </c>
      <c r="L296" s="33" t="str">
        <f t="shared" si="8"/>
        <v>FL40W2埋込W300</v>
      </c>
      <c r="M296" s="33">
        <f>VLOOKUP(L296,照明器具一覧!$B$4:$F$155,5,FALSE)</f>
        <v>94</v>
      </c>
      <c r="N296" s="7">
        <v>1</v>
      </c>
      <c r="O296" s="82">
        <f t="shared" si="9"/>
        <v>522.82799999999997</v>
      </c>
    </row>
    <row r="297" spans="1:15">
      <c r="A297" s="7" t="s">
        <v>838</v>
      </c>
      <c r="B297" s="6" t="s">
        <v>532</v>
      </c>
      <c r="C297" s="74" t="s">
        <v>151</v>
      </c>
      <c r="D297" s="75" t="s">
        <v>11</v>
      </c>
      <c r="E297" s="7" t="s">
        <v>167</v>
      </c>
      <c r="F297" s="76" t="s">
        <v>167</v>
      </c>
      <c r="G297" s="72" t="s">
        <v>38</v>
      </c>
      <c r="H297" s="34">
        <v>3</v>
      </c>
      <c r="I297" s="71" t="s">
        <v>410</v>
      </c>
      <c r="J297" s="32">
        <v>1</v>
      </c>
      <c r="K297" s="33">
        <f>VLOOKUP(E297,照明設備稼働時間!$A$4:$F$72,5,FALSE)</f>
        <v>927</v>
      </c>
      <c r="L297" s="33" t="str">
        <f t="shared" si="8"/>
        <v>FL40W3埋込W450</v>
      </c>
      <c r="M297" s="33">
        <f>VLOOKUP(L297,照明器具一覧!$B$4:$F$155,5,FALSE)</f>
        <v>141</v>
      </c>
      <c r="N297" s="7">
        <v>1</v>
      </c>
      <c r="O297" s="82">
        <f t="shared" si="9"/>
        <v>130.70699999999999</v>
      </c>
    </row>
    <row r="298" spans="1:15">
      <c r="A298" s="7" t="s">
        <v>839</v>
      </c>
      <c r="B298" s="6" t="s">
        <v>533</v>
      </c>
      <c r="C298" s="74" t="s">
        <v>46</v>
      </c>
      <c r="D298" s="75" t="s">
        <v>11</v>
      </c>
      <c r="E298" s="7" t="s">
        <v>1072</v>
      </c>
      <c r="F298" s="76" t="s">
        <v>168</v>
      </c>
      <c r="G298" s="72" t="s">
        <v>328</v>
      </c>
      <c r="H298" s="34">
        <v>2</v>
      </c>
      <c r="I298" s="71" t="s">
        <v>333</v>
      </c>
      <c r="J298" s="32">
        <v>52</v>
      </c>
      <c r="K298" s="33">
        <f>VLOOKUP(E298,照明設備稼働時間!$A$4:$F$72,5,FALSE)</f>
        <v>2187</v>
      </c>
      <c r="L298" s="33" t="str">
        <f t="shared" si="8"/>
        <v>LED2直管LED　埋込</v>
      </c>
      <c r="M298" s="33">
        <f>VLOOKUP(L298,照明器具一覧!$B$4:$F$155,5,FALSE)</f>
        <v>40</v>
      </c>
      <c r="N298" s="7">
        <v>1</v>
      </c>
      <c r="O298" s="82">
        <f t="shared" si="9"/>
        <v>4548.96</v>
      </c>
    </row>
    <row r="299" spans="1:15">
      <c r="A299" s="7" t="s">
        <v>840</v>
      </c>
      <c r="B299" s="6" t="s">
        <v>533</v>
      </c>
      <c r="C299" s="74" t="s">
        <v>68</v>
      </c>
      <c r="D299" s="75" t="s">
        <v>11</v>
      </c>
      <c r="E299" s="7" t="s">
        <v>1072</v>
      </c>
      <c r="F299" s="76" t="s">
        <v>168</v>
      </c>
      <c r="G299" s="72" t="s">
        <v>330</v>
      </c>
      <c r="H299" s="34">
        <v>2</v>
      </c>
      <c r="I299" s="71" t="s">
        <v>333</v>
      </c>
      <c r="J299" s="32">
        <v>12</v>
      </c>
      <c r="K299" s="33">
        <f>VLOOKUP(E299,照明設備稼働時間!$A$4:$F$72,5,FALSE)</f>
        <v>2187</v>
      </c>
      <c r="L299" s="33" t="str">
        <f t="shared" si="8"/>
        <v>LED ＋PIL100V40WS35E172直管LED　埋込</v>
      </c>
      <c r="M299" s="33">
        <f>VLOOKUP(L299,照明器具一覧!$B$4:$F$155,5,FALSE)</f>
        <v>40</v>
      </c>
      <c r="N299" s="7">
        <v>1</v>
      </c>
      <c r="O299" s="82">
        <f t="shared" si="9"/>
        <v>1049.76</v>
      </c>
    </row>
    <row r="300" spans="1:15">
      <c r="A300" s="7" t="s">
        <v>841</v>
      </c>
      <c r="B300" s="6" t="s">
        <v>532</v>
      </c>
      <c r="C300" s="74" t="s">
        <v>46</v>
      </c>
      <c r="D300" s="75" t="s">
        <v>11</v>
      </c>
      <c r="E300" s="7" t="s">
        <v>1072</v>
      </c>
      <c r="F300" s="76" t="s">
        <v>169</v>
      </c>
      <c r="G300" s="72" t="s">
        <v>38</v>
      </c>
      <c r="H300" s="34">
        <v>2</v>
      </c>
      <c r="I300" s="71" t="s">
        <v>359</v>
      </c>
      <c r="J300" s="32">
        <v>3</v>
      </c>
      <c r="K300" s="33">
        <f>VLOOKUP(E300,照明設備稼働時間!$A$4:$F$72,5,FALSE)</f>
        <v>2187</v>
      </c>
      <c r="L300" s="33" t="str">
        <f t="shared" si="8"/>
        <v>FL40W2埋込W300</v>
      </c>
      <c r="M300" s="33">
        <f>VLOOKUP(L300,照明器具一覧!$B$4:$F$155,5,FALSE)</f>
        <v>94</v>
      </c>
      <c r="N300" s="7">
        <v>1</v>
      </c>
      <c r="O300" s="82">
        <f t="shared" si="9"/>
        <v>616.73400000000004</v>
      </c>
    </row>
    <row r="301" spans="1:15">
      <c r="A301" s="7" t="s">
        <v>842</v>
      </c>
      <c r="B301" s="6" t="s">
        <v>532</v>
      </c>
      <c r="C301" s="74" t="s">
        <v>68</v>
      </c>
      <c r="D301" s="75" t="s">
        <v>11</v>
      </c>
      <c r="E301" s="7" t="s">
        <v>1072</v>
      </c>
      <c r="F301" s="76" t="s">
        <v>169</v>
      </c>
      <c r="G301" s="72" t="s">
        <v>39</v>
      </c>
      <c r="H301" s="34">
        <v>2</v>
      </c>
      <c r="I301" s="71" t="s">
        <v>393</v>
      </c>
      <c r="J301" s="32">
        <v>1</v>
      </c>
      <c r="K301" s="33">
        <f>VLOOKUP(E301,照明設備稼働時間!$A$4:$F$72,5,FALSE)</f>
        <v>2187</v>
      </c>
      <c r="L301" s="33" t="str">
        <f t="shared" si="8"/>
        <v>FL40SW ＋PIL100V40WS35E172埋込W300　非常照明　電源別置</v>
      </c>
      <c r="M301" s="33">
        <f>VLOOKUP(L301,照明器具一覧!$B$4:$F$155,5,FALSE)</f>
        <v>94</v>
      </c>
      <c r="N301" s="7">
        <v>1</v>
      </c>
      <c r="O301" s="82">
        <f t="shared" si="9"/>
        <v>205.578</v>
      </c>
    </row>
    <row r="302" spans="1:15">
      <c r="A302" s="7" t="s">
        <v>843</v>
      </c>
      <c r="B302" s="6" t="s">
        <v>532</v>
      </c>
      <c r="C302" s="74" t="s">
        <v>72</v>
      </c>
      <c r="D302" s="75" t="s">
        <v>11</v>
      </c>
      <c r="E302" s="7" t="s">
        <v>325</v>
      </c>
      <c r="F302" s="76" t="s">
        <v>170</v>
      </c>
      <c r="G302" s="72" t="s">
        <v>114</v>
      </c>
      <c r="H302" s="34">
        <v>1</v>
      </c>
      <c r="I302" s="71" t="s">
        <v>411</v>
      </c>
      <c r="J302" s="32">
        <v>4</v>
      </c>
      <c r="K302" s="33">
        <f>VLOOKUP(E302,照明設備稼働時間!$A$4:$F$72,5,FALSE)</f>
        <v>0</v>
      </c>
      <c r="L302" s="33" t="str">
        <f t="shared" si="8"/>
        <v>HF70 1埋込　φ200</v>
      </c>
      <c r="M302" s="33">
        <f>VLOOKUP(L302,照明器具一覧!$B$4:$F$155,5,FALSE)</f>
        <v>77</v>
      </c>
      <c r="N302" s="7">
        <v>1</v>
      </c>
      <c r="O302" s="82">
        <f t="shared" si="9"/>
        <v>0</v>
      </c>
    </row>
    <row r="303" spans="1:15">
      <c r="A303" s="7" t="s">
        <v>844</v>
      </c>
      <c r="B303" s="6" t="s">
        <v>532</v>
      </c>
      <c r="C303" s="74" t="s">
        <v>68</v>
      </c>
      <c r="D303" s="75" t="s">
        <v>11</v>
      </c>
      <c r="E303" s="7" t="s">
        <v>1072</v>
      </c>
      <c r="F303" s="76" t="s">
        <v>141</v>
      </c>
      <c r="G303" s="72" t="s">
        <v>39</v>
      </c>
      <c r="H303" s="34">
        <v>2</v>
      </c>
      <c r="I303" s="71" t="s">
        <v>393</v>
      </c>
      <c r="J303" s="32">
        <v>1</v>
      </c>
      <c r="K303" s="33">
        <f>VLOOKUP(E303,照明設備稼働時間!$A$4:$F$72,5,FALSE)</f>
        <v>2187</v>
      </c>
      <c r="L303" s="33" t="str">
        <f t="shared" si="8"/>
        <v>FL40SW ＋PIL100V40WS35E172埋込W300　非常照明　電源別置</v>
      </c>
      <c r="M303" s="33">
        <f>VLOOKUP(L303,照明器具一覧!$B$4:$F$155,5,FALSE)</f>
        <v>94</v>
      </c>
      <c r="N303" s="7">
        <v>1</v>
      </c>
      <c r="O303" s="82">
        <f t="shared" si="9"/>
        <v>205.578</v>
      </c>
    </row>
    <row r="304" spans="1:15">
      <c r="A304" s="7" t="s">
        <v>845</v>
      </c>
      <c r="B304" s="6" t="s">
        <v>532</v>
      </c>
      <c r="C304" s="74" t="s">
        <v>50</v>
      </c>
      <c r="D304" s="75" t="s">
        <v>11</v>
      </c>
      <c r="E304" s="7" t="s">
        <v>1072</v>
      </c>
      <c r="F304" s="76" t="s">
        <v>141</v>
      </c>
      <c r="G304" s="72" t="s">
        <v>38</v>
      </c>
      <c r="H304" s="34">
        <v>1</v>
      </c>
      <c r="I304" s="71" t="s">
        <v>371</v>
      </c>
      <c r="J304" s="32">
        <v>4</v>
      </c>
      <c r="K304" s="33">
        <f>VLOOKUP(E304,照明設備稼働時間!$A$4:$F$72,5,FALSE)</f>
        <v>2187</v>
      </c>
      <c r="L304" s="33" t="str">
        <f t="shared" si="8"/>
        <v>FL40W1埋込W220</v>
      </c>
      <c r="M304" s="33">
        <f>VLOOKUP(L304,照明器具一覧!$B$4:$F$155,5,FALSE)</f>
        <v>47</v>
      </c>
      <c r="N304" s="7">
        <v>1</v>
      </c>
      <c r="O304" s="82">
        <f t="shared" si="9"/>
        <v>411.15600000000001</v>
      </c>
    </row>
    <row r="305" spans="1:15">
      <c r="A305" s="7" t="s">
        <v>846</v>
      </c>
      <c r="B305" s="6" t="s">
        <v>532</v>
      </c>
      <c r="C305" s="74" t="s">
        <v>50</v>
      </c>
      <c r="D305" s="75" t="s">
        <v>11</v>
      </c>
      <c r="E305" s="7" t="s">
        <v>1112</v>
      </c>
      <c r="F305" s="76" t="s">
        <v>171</v>
      </c>
      <c r="G305" s="72" t="s">
        <v>38</v>
      </c>
      <c r="H305" s="34">
        <v>1</v>
      </c>
      <c r="I305" s="71" t="s">
        <v>371</v>
      </c>
      <c r="J305" s="32">
        <v>2</v>
      </c>
      <c r="K305" s="33">
        <f>VLOOKUP(E305,照明設備稼働時間!$A$4:$F$72,5,FALSE)</f>
        <v>242</v>
      </c>
      <c r="L305" s="33" t="str">
        <f t="shared" si="8"/>
        <v>FL40W1埋込W220</v>
      </c>
      <c r="M305" s="33">
        <f>VLOOKUP(L305,照明器具一覧!$B$4:$F$155,5,FALSE)</f>
        <v>47</v>
      </c>
      <c r="N305" s="7">
        <v>1</v>
      </c>
      <c r="O305" s="82">
        <f t="shared" si="9"/>
        <v>22.748000000000001</v>
      </c>
    </row>
    <row r="306" spans="1:15">
      <c r="A306" s="7" t="s">
        <v>847</v>
      </c>
      <c r="B306" s="6" t="s">
        <v>532</v>
      </c>
      <c r="C306" s="74" t="s">
        <v>50</v>
      </c>
      <c r="D306" s="75" t="s">
        <v>11</v>
      </c>
      <c r="E306" s="7" t="s">
        <v>1112</v>
      </c>
      <c r="F306" s="76" t="s">
        <v>172</v>
      </c>
      <c r="G306" s="72" t="s">
        <v>38</v>
      </c>
      <c r="H306" s="34">
        <v>1</v>
      </c>
      <c r="I306" s="71" t="s">
        <v>371</v>
      </c>
      <c r="J306" s="32">
        <v>2</v>
      </c>
      <c r="K306" s="33">
        <f>VLOOKUP(E306,照明設備稼働時間!$A$4:$F$72,5,FALSE)</f>
        <v>242</v>
      </c>
      <c r="L306" s="33" t="str">
        <f t="shared" si="8"/>
        <v>FL40W1埋込W220</v>
      </c>
      <c r="M306" s="33">
        <f>VLOOKUP(L306,照明器具一覧!$B$4:$F$155,5,FALSE)</f>
        <v>47</v>
      </c>
      <c r="N306" s="7">
        <v>1</v>
      </c>
      <c r="O306" s="82">
        <f t="shared" si="9"/>
        <v>22.748000000000001</v>
      </c>
    </row>
    <row r="307" spans="1:15">
      <c r="A307" s="7" t="s">
        <v>848</v>
      </c>
      <c r="B307" s="6" t="s">
        <v>532</v>
      </c>
      <c r="C307" s="74" t="s">
        <v>68</v>
      </c>
      <c r="D307" s="75" t="s">
        <v>11</v>
      </c>
      <c r="E307" s="7" t="s">
        <v>1099</v>
      </c>
      <c r="F307" s="76" t="s">
        <v>77</v>
      </c>
      <c r="G307" s="72" t="s">
        <v>39</v>
      </c>
      <c r="H307" s="34">
        <v>2</v>
      </c>
      <c r="I307" s="71" t="s">
        <v>393</v>
      </c>
      <c r="J307" s="32">
        <v>1</v>
      </c>
      <c r="K307" s="33">
        <f>VLOOKUP(E307,照明設備稼働時間!$A$4:$F$72,5,FALSE)</f>
        <v>1854</v>
      </c>
      <c r="L307" s="33" t="str">
        <f t="shared" si="8"/>
        <v>FL40SW ＋PIL100V40WS35E172埋込W300　非常照明　電源別置</v>
      </c>
      <c r="M307" s="33">
        <f>VLOOKUP(L307,照明器具一覧!$B$4:$F$155,5,FALSE)</f>
        <v>94</v>
      </c>
      <c r="N307" s="7">
        <v>1</v>
      </c>
      <c r="O307" s="82">
        <f t="shared" si="9"/>
        <v>174.27600000000001</v>
      </c>
    </row>
    <row r="308" spans="1:15">
      <c r="A308" s="7" t="s">
        <v>849</v>
      </c>
      <c r="B308" s="6" t="s">
        <v>532</v>
      </c>
      <c r="C308" s="74"/>
      <c r="D308" s="75" t="s">
        <v>11</v>
      </c>
      <c r="E308" s="7" t="s">
        <v>1099</v>
      </c>
      <c r="F308" s="76" t="s">
        <v>77</v>
      </c>
      <c r="G308" s="72" t="s">
        <v>194</v>
      </c>
      <c r="H308" s="34">
        <v>1</v>
      </c>
      <c r="I308" s="71" t="s">
        <v>412</v>
      </c>
      <c r="J308" s="32">
        <v>1</v>
      </c>
      <c r="K308" s="33">
        <f>VLOOKUP(E308,照明設備稼働時間!$A$4:$F$72,5,FALSE)</f>
        <v>1854</v>
      </c>
      <c r="L308" s="33" t="str">
        <f t="shared" si="8"/>
        <v>FL15W1ミラー灯</v>
      </c>
      <c r="M308" s="33">
        <f>VLOOKUP(L308,照明器具一覧!$B$4:$F$155,5,FALSE)</f>
        <v>15</v>
      </c>
      <c r="N308" s="7">
        <v>1</v>
      </c>
      <c r="O308" s="82">
        <f t="shared" si="9"/>
        <v>27.81</v>
      </c>
    </row>
    <row r="309" spans="1:15">
      <c r="A309" s="7" t="s">
        <v>850</v>
      </c>
      <c r="B309" s="6" t="s">
        <v>532</v>
      </c>
      <c r="C309" s="74" t="s">
        <v>53</v>
      </c>
      <c r="D309" s="75" t="s">
        <v>11</v>
      </c>
      <c r="E309" s="7" t="s">
        <v>1099</v>
      </c>
      <c r="F309" s="76" t="s">
        <v>77</v>
      </c>
      <c r="G309" s="72" t="s">
        <v>284</v>
      </c>
      <c r="H309" s="34">
        <v>1</v>
      </c>
      <c r="I309" s="71" t="s">
        <v>413</v>
      </c>
      <c r="J309" s="32">
        <v>1</v>
      </c>
      <c r="K309" s="33">
        <f>VLOOKUP(E309,照明設備稼働時間!$A$4:$F$72,5,FALSE)</f>
        <v>1854</v>
      </c>
      <c r="L309" s="33" t="str">
        <f t="shared" si="8"/>
        <v>IL40W1直付白熱灯</v>
      </c>
      <c r="M309" s="33">
        <f>VLOOKUP(L309,照明器具一覧!$B$4:$F$155,5,FALSE)</f>
        <v>40</v>
      </c>
      <c r="N309" s="7">
        <v>1</v>
      </c>
      <c r="O309" s="82">
        <f t="shared" si="9"/>
        <v>74.16</v>
      </c>
    </row>
    <row r="310" spans="1:15">
      <c r="A310" s="7" t="s">
        <v>851</v>
      </c>
      <c r="B310" s="6" t="s">
        <v>533</v>
      </c>
      <c r="C310" s="74" t="s">
        <v>28</v>
      </c>
      <c r="D310" s="75" t="s">
        <v>11</v>
      </c>
      <c r="E310" s="7" t="s">
        <v>509</v>
      </c>
      <c r="F310" s="76" t="s">
        <v>37</v>
      </c>
      <c r="G310" s="72" t="s">
        <v>307</v>
      </c>
      <c r="H310" s="34">
        <v>1</v>
      </c>
      <c r="I310" s="71" t="s">
        <v>318</v>
      </c>
      <c r="J310" s="32">
        <v>1</v>
      </c>
      <c r="K310" s="33">
        <f>VLOOKUP(E310,照明設備稼働時間!$A$4:$F$72,5,FALSE)</f>
        <v>4172</v>
      </c>
      <c r="L310" s="33" t="str">
        <f t="shared" si="8"/>
        <v>LED1直付　非常照明付　電池内蔵</v>
      </c>
      <c r="M310" s="33">
        <f>VLOOKUP(L310,照明器具一覧!$B$4:$F$155,5,FALSE)</f>
        <v>20</v>
      </c>
      <c r="N310" s="7">
        <v>1</v>
      </c>
      <c r="O310" s="82">
        <f t="shared" si="9"/>
        <v>83.44</v>
      </c>
    </row>
    <row r="311" spans="1:15">
      <c r="A311" s="7" t="s">
        <v>852</v>
      </c>
      <c r="B311" s="6" t="s">
        <v>532</v>
      </c>
      <c r="C311" s="74" t="s">
        <v>53</v>
      </c>
      <c r="D311" s="75" t="s">
        <v>11</v>
      </c>
      <c r="E311" s="7" t="s">
        <v>516</v>
      </c>
      <c r="F311" s="76" t="s">
        <v>269</v>
      </c>
      <c r="G311" s="72" t="s">
        <v>284</v>
      </c>
      <c r="H311" s="34">
        <v>1</v>
      </c>
      <c r="I311" s="71" t="s">
        <v>395</v>
      </c>
      <c r="J311" s="32">
        <v>1</v>
      </c>
      <c r="K311" s="33">
        <f>VLOOKUP(E311,照明設備稼働時間!$A$4:$F$72,5,FALSE)</f>
        <v>0</v>
      </c>
      <c r="L311" s="33" t="str">
        <f t="shared" si="8"/>
        <v>IL40W1直付白熱灯</v>
      </c>
      <c r="M311" s="33">
        <f>VLOOKUP(L311,照明器具一覧!$B$4:$F$155,5,FALSE)</f>
        <v>40</v>
      </c>
      <c r="N311" s="7">
        <v>1</v>
      </c>
      <c r="O311" s="82">
        <f t="shared" si="9"/>
        <v>0</v>
      </c>
    </row>
    <row r="312" spans="1:15">
      <c r="A312" s="7" t="s">
        <v>853</v>
      </c>
      <c r="B312" s="6" t="s">
        <v>532</v>
      </c>
      <c r="C312" s="74" t="s">
        <v>54</v>
      </c>
      <c r="D312" s="75" t="s">
        <v>11</v>
      </c>
      <c r="E312" s="7" t="s">
        <v>516</v>
      </c>
      <c r="F312" s="76" t="s">
        <v>344</v>
      </c>
      <c r="G312" s="72" t="s">
        <v>40</v>
      </c>
      <c r="H312" s="34">
        <v>1</v>
      </c>
      <c r="I312" s="71" t="s">
        <v>373</v>
      </c>
      <c r="J312" s="32">
        <v>1</v>
      </c>
      <c r="K312" s="33">
        <f>VLOOKUP(E312,照明設備稼働時間!$A$4:$F$72,5,FALSE)</f>
        <v>0</v>
      </c>
      <c r="L312" s="33" t="str">
        <f t="shared" si="8"/>
        <v>FL20W1片反射</v>
      </c>
      <c r="M312" s="33">
        <f>VLOOKUP(L312,照明器具一覧!$B$4:$F$155,5,FALSE)</f>
        <v>22</v>
      </c>
      <c r="N312" s="7">
        <v>1</v>
      </c>
      <c r="O312" s="82">
        <f t="shared" si="9"/>
        <v>0</v>
      </c>
    </row>
    <row r="313" spans="1:15">
      <c r="A313" s="7" t="s">
        <v>854</v>
      </c>
      <c r="B313" s="6" t="s">
        <v>532</v>
      </c>
      <c r="C313" s="74" t="s">
        <v>27</v>
      </c>
      <c r="D313" s="75" t="s">
        <v>11</v>
      </c>
      <c r="E313" s="7" t="s">
        <v>509</v>
      </c>
      <c r="F313" s="76" t="s">
        <v>36</v>
      </c>
      <c r="G313" s="72" t="s">
        <v>41</v>
      </c>
      <c r="H313" s="34">
        <v>2</v>
      </c>
      <c r="I313" s="71" t="s">
        <v>360</v>
      </c>
      <c r="J313" s="32">
        <v>4</v>
      </c>
      <c r="K313" s="33">
        <f>VLOOKUP(E313,照明設備稼働時間!$A$4:$F$72,5,FALSE)</f>
        <v>4172</v>
      </c>
      <c r="L313" s="33" t="str">
        <f t="shared" si="8"/>
        <v>FPL28EXN 2埋込　スクエア□350</v>
      </c>
      <c r="M313" s="33">
        <f>VLOOKUP(L313,照明器具一覧!$B$4:$F$155,5,FALSE)</f>
        <v>33</v>
      </c>
      <c r="N313" s="7">
        <v>0.5</v>
      </c>
      <c r="O313" s="82">
        <f t="shared" si="9"/>
        <v>275.35199999999998</v>
      </c>
    </row>
    <row r="314" spans="1:15">
      <c r="A314" s="7" t="s">
        <v>855</v>
      </c>
      <c r="B314" s="6" t="s">
        <v>532</v>
      </c>
      <c r="C314" s="74" t="s">
        <v>152</v>
      </c>
      <c r="D314" s="75" t="s">
        <v>11</v>
      </c>
      <c r="E314" s="7" t="s">
        <v>509</v>
      </c>
      <c r="F314" s="76" t="s">
        <v>173</v>
      </c>
      <c r="G314" s="72" t="s">
        <v>104</v>
      </c>
      <c r="H314" s="34">
        <v>1</v>
      </c>
      <c r="I314" s="71" t="s">
        <v>367</v>
      </c>
      <c r="J314" s="32">
        <v>1</v>
      </c>
      <c r="K314" s="33">
        <f>VLOOKUP(E314,照明設備稼働時間!$A$4:$F$72,5,FALSE)</f>
        <v>4172</v>
      </c>
      <c r="L314" s="33" t="str">
        <f t="shared" si="8"/>
        <v>FDL18EX-N1ダウンライト　φ150</v>
      </c>
      <c r="M314" s="33">
        <f>VLOOKUP(L314,照明器具一覧!$B$4:$F$155,5,FALSE)</f>
        <v>22</v>
      </c>
      <c r="N314" s="7">
        <v>1</v>
      </c>
      <c r="O314" s="82">
        <f t="shared" si="9"/>
        <v>91.784000000000006</v>
      </c>
    </row>
    <row r="315" spans="1:15">
      <c r="A315" s="7" t="s">
        <v>856</v>
      </c>
      <c r="B315" s="6" t="s">
        <v>532</v>
      </c>
      <c r="C315" s="74" t="s">
        <v>119</v>
      </c>
      <c r="D315" s="75" t="s">
        <v>11</v>
      </c>
      <c r="E315" s="7" t="s">
        <v>509</v>
      </c>
      <c r="F315" s="76" t="s">
        <v>173</v>
      </c>
      <c r="G315" s="72" t="s">
        <v>145</v>
      </c>
      <c r="H315" s="34">
        <v>3</v>
      </c>
      <c r="I315" s="71" t="s">
        <v>397</v>
      </c>
      <c r="J315" s="32">
        <v>3</v>
      </c>
      <c r="K315" s="33">
        <f>VLOOKUP(E315,照明設備稼働時間!$A$4:$F$72,5,FALSE)</f>
        <v>4172</v>
      </c>
      <c r="L315" s="33" t="str">
        <f t="shared" si="8"/>
        <v>FPL36EX-N/23埋込　スクエア□450</v>
      </c>
      <c r="M315" s="33">
        <f>VLOOKUP(L315,照明器具一覧!$B$4:$F$155,5,FALSE)</f>
        <v>136</v>
      </c>
      <c r="N315" s="7">
        <v>1</v>
      </c>
      <c r="O315" s="82">
        <f t="shared" si="9"/>
        <v>1702.1759999999999</v>
      </c>
    </row>
    <row r="316" spans="1:15">
      <c r="A316" s="7" t="s">
        <v>857</v>
      </c>
      <c r="B316" s="6" t="s">
        <v>532</v>
      </c>
      <c r="C316" s="74" t="s">
        <v>254</v>
      </c>
      <c r="D316" s="75" t="s">
        <v>270</v>
      </c>
      <c r="E316" s="7" t="s">
        <v>9</v>
      </c>
      <c r="F316" s="76" t="s">
        <v>334</v>
      </c>
      <c r="G316" s="72" t="s">
        <v>40</v>
      </c>
      <c r="H316" s="34">
        <v>1</v>
      </c>
      <c r="I316" s="71" t="s">
        <v>320</v>
      </c>
      <c r="J316" s="32">
        <v>1</v>
      </c>
      <c r="K316" s="33">
        <f>VLOOKUP(E316,照明設備稼働時間!$A$4:$F$72,5,FALSE)</f>
        <v>8760</v>
      </c>
      <c r="L316" s="33" t="str">
        <f t="shared" si="8"/>
        <v>FL20W1避難口誘導灯</v>
      </c>
      <c r="M316" s="33">
        <f>VLOOKUP(L316,照明器具一覧!$B$4:$F$155,5,FALSE)</f>
        <v>22</v>
      </c>
      <c r="N316" s="7">
        <v>1</v>
      </c>
      <c r="O316" s="82">
        <f t="shared" si="9"/>
        <v>192.72</v>
      </c>
    </row>
    <row r="317" spans="1:15">
      <c r="A317" s="7" t="s">
        <v>858</v>
      </c>
      <c r="B317" s="6" t="s">
        <v>532</v>
      </c>
      <c r="C317" s="74" t="s">
        <v>243</v>
      </c>
      <c r="D317" s="75" t="s">
        <v>270</v>
      </c>
      <c r="E317" s="7" t="s">
        <v>9</v>
      </c>
      <c r="F317" s="76" t="s">
        <v>271</v>
      </c>
      <c r="G317" s="72" t="s">
        <v>40</v>
      </c>
      <c r="H317" s="34">
        <v>1</v>
      </c>
      <c r="I317" s="71" t="s">
        <v>322</v>
      </c>
      <c r="J317" s="32">
        <v>1</v>
      </c>
      <c r="K317" s="33">
        <f>VLOOKUP(E317,照明設備稼働時間!$A$4:$F$72,5,FALSE)</f>
        <v>8760</v>
      </c>
      <c r="L317" s="33" t="str">
        <f t="shared" si="8"/>
        <v>FL20W1通路誘導灯</v>
      </c>
      <c r="M317" s="33">
        <f>VLOOKUP(L317,照明器具一覧!$B$4:$F$155,5,FALSE)</f>
        <v>22</v>
      </c>
      <c r="N317" s="7">
        <v>1</v>
      </c>
      <c r="O317" s="82">
        <f t="shared" si="9"/>
        <v>192.72</v>
      </c>
    </row>
    <row r="318" spans="1:15">
      <c r="A318" s="7" t="s">
        <v>859</v>
      </c>
      <c r="B318" s="6" t="s">
        <v>532</v>
      </c>
      <c r="C318" s="74" t="s">
        <v>263</v>
      </c>
      <c r="D318" s="75" t="s">
        <v>270</v>
      </c>
      <c r="E318" s="7" t="s">
        <v>9</v>
      </c>
      <c r="F318" s="76" t="s">
        <v>256</v>
      </c>
      <c r="G318" s="72" t="s">
        <v>38</v>
      </c>
      <c r="H318" s="34">
        <v>2</v>
      </c>
      <c r="I318" s="71" t="s">
        <v>320</v>
      </c>
      <c r="J318" s="32">
        <v>1</v>
      </c>
      <c r="K318" s="33">
        <f>VLOOKUP(E318,照明設備稼働時間!$A$4:$F$72,5,FALSE)</f>
        <v>8760</v>
      </c>
      <c r="L318" s="33" t="str">
        <f t="shared" si="8"/>
        <v>FL40W2避難口誘導灯</v>
      </c>
      <c r="M318" s="33">
        <f>VLOOKUP(L318,照明器具一覧!$B$4:$F$155,5,FALSE)</f>
        <v>94</v>
      </c>
      <c r="N318" s="7">
        <v>1</v>
      </c>
      <c r="O318" s="82">
        <f t="shared" si="9"/>
        <v>823.44</v>
      </c>
    </row>
    <row r="319" spans="1:15">
      <c r="A319" s="7" t="s">
        <v>860</v>
      </c>
      <c r="B319" s="6" t="s">
        <v>532</v>
      </c>
      <c r="C319" s="74" t="s">
        <v>272</v>
      </c>
      <c r="D319" s="75" t="s">
        <v>270</v>
      </c>
      <c r="E319" s="7" t="s">
        <v>9</v>
      </c>
      <c r="F319" s="76" t="s">
        <v>244</v>
      </c>
      <c r="G319" s="72" t="s">
        <v>40</v>
      </c>
      <c r="H319" s="34">
        <v>1</v>
      </c>
      <c r="I319" s="71" t="s">
        <v>322</v>
      </c>
      <c r="J319" s="32">
        <v>1</v>
      </c>
      <c r="K319" s="33">
        <f>VLOOKUP(E319,照明設備稼働時間!$A$4:$F$72,5,FALSE)</f>
        <v>8760</v>
      </c>
      <c r="L319" s="33" t="str">
        <f t="shared" si="8"/>
        <v>FL20W1通路誘導灯</v>
      </c>
      <c r="M319" s="33">
        <f>VLOOKUP(L319,照明器具一覧!$B$4:$F$155,5,FALSE)</f>
        <v>22</v>
      </c>
      <c r="N319" s="7">
        <v>1</v>
      </c>
      <c r="O319" s="82">
        <f t="shared" si="9"/>
        <v>192.72</v>
      </c>
    </row>
    <row r="320" spans="1:15">
      <c r="A320" s="7" t="s">
        <v>861</v>
      </c>
      <c r="B320" s="6" t="s">
        <v>532</v>
      </c>
      <c r="C320" s="74"/>
      <c r="D320" s="75" t="s">
        <v>270</v>
      </c>
      <c r="E320" s="7" t="s">
        <v>9</v>
      </c>
      <c r="F320" s="76" t="s">
        <v>244</v>
      </c>
      <c r="G320" s="72" t="s">
        <v>315</v>
      </c>
      <c r="H320" s="34">
        <v>1</v>
      </c>
      <c r="I320" s="71" t="s">
        <v>322</v>
      </c>
      <c r="J320" s="32">
        <v>1</v>
      </c>
      <c r="K320" s="33">
        <f>VLOOKUP(E320,照明設備稼働時間!$A$4:$F$72,5,FALSE)</f>
        <v>8760</v>
      </c>
      <c r="L320" s="33" t="str">
        <f t="shared" si="8"/>
        <v>FL20W1通路誘導灯</v>
      </c>
      <c r="M320" s="33">
        <f>VLOOKUP(L320,照明器具一覧!$B$4:$F$155,5,FALSE)</f>
        <v>22</v>
      </c>
      <c r="N320" s="7">
        <v>1</v>
      </c>
      <c r="O320" s="82">
        <f t="shared" si="9"/>
        <v>192.72</v>
      </c>
    </row>
    <row r="321" spans="1:15">
      <c r="A321" s="7" t="s">
        <v>862</v>
      </c>
      <c r="B321" s="6" t="s">
        <v>532</v>
      </c>
      <c r="C321" s="74" t="s">
        <v>254</v>
      </c>
      <c r="D321" s="75" t="s">
        <v>270</v>
      </c>
      <c r="E321" s="7" t="s">
        <v>9</v>
      </c>
      <c r="F321" s="76" t="s">
        <v>273</v>
      </c>
      <c r="G321" s="72" t="s">
        <v>40</v>
      </c>
      <c r="H321" s="34">
        <v>1</v>
      </c>
      <c r="I321" s="71" t="s">
        <v>320</v>
      </c>
      <c r="J321" s="32">
        <v>1</v>
      </c>
      <c r="K321" s="33">
        <f>VLOOKUP(E321,照明設備稼働時間!$A$4:$F$72,5,FALSE)</f>
        <v>8760</v>
      </c>
      <c r="L321" s="33" t="str">
        <f t="shared" si="8"/>
        <v>FL20W1避難口誘導灯</v>
      </c>
      <c r="M321" s="33">
        <f>VLOOKUP(L321,照明器具一覧!$B$4:$F$155,5,FALSE)</f>
        <v>22</v>
      </c>
      <c r="N321" s="7">
        <v>1</v>
      </c>
      <c r="O321" s="82">
        <f t="shared" si="9"/>
        <v>192.72</v>
      </c>
    </row>
    <row r="322" spans="1:15">
      <c r="A322" s="7" t="s">
        <v>863</v>
      </c>
      <c r="B322" s="6" t="s">
        <v>532</v>
      </c>
      <c r="C322" s="74" t="s">
        <v>254</v>
      </c>
      <c r="D322" s="75" t="s">
        <v>270</v>
      </c>
      <c r="E322" s="7" t="s">
        <v>9</v>
      </c>
      <c r="F322" s="76" t="s">
        <v>274</v>
      </c>
      <c r="G322" s="72" t="s">
        <v>40</v>
      </c>
      <c r="H322" s="34">
        <v>1</v>
      </c>
      <c r="I322" s="71" t="s">
        <v>320</v>
      </c>
      <c r="J322" s="32">
        <v>1</v>
      </c>
      <c r="K322" s="33">
        <f>VLOOKUP(E322,照明設備稼働時間!$A$4:$F$72,5,FALSE)</f>
        <v>8760</v>
      </c>
      <c r="L322" s="33" t="str">
        <f t="shared" si="8"/>
        <v>FL20W1避難口誘導灯</v>
      </c>
      <c r="M322" s="33">
        <f>VLOOKUP(L322,照明器具一覧!$B$4:$F$155,5,FALSE)</f>
        <v>22</v>
      </c>
      <c r="N322" s="7">
        <v>1</v>
      </c>
      <c r="O322" s="82">
        <f t="shared" si="9"/>
        <v>192.72</v>
      </c>
    </row>
    <row r="323" spans="1:15">
      <c r="A323" s="7" t="s">
        <v>864</v>
      </c>
      <c r="B323" s="6" t="s">
        <v>532</v>
      </c>
      <c r="C323" s="74" t="s">
        <v>243</v>
      </c>
      <c r="D323" s="75" t="s">
        <v>270</v>
      </c>
      <c r="E323" s="7" t="s">
        <v>9</v>
      </c>
      <c r="F323" s="76" t="s">
        <v>275</v>
      </c>
      <c r="G323" s="72" t="s">
        <v>40</v>
      </c>
      <c r="H323" s="34">
        <v>1</v>
      </c>
      <c r="I323" s="71" t="s">
        <v>322</v>
      </c>
      <c r="J323" s="32">
        <v>1</v>
      </c>
      <c r="K323" s="33">
        <f>VLOOKUP(E323,照明設備稼働時間!$A$4:$F$72,5,FALSE)</f>
        <v>8760</v>
      </c>
      <c r="L323" s="33" t="str">
        <f t="shared" si="8"/>
        <v>FL20W1通路誘導灯</v>
      </c>
      <c r="M323" s="33">
        <f>VLOOKUP(L323,照明器具一覧!$B$4:$F$155,5,FALSE)</f>
        <v>22</v>
      </c>
      <c r="N323" s="7">
        <v>1</v>
      </c>
      <c r="O323" s="82">
        <f t="shared" si="9"/>
        <v>192.72</v>
      </c>
    </row>
    <row r="324" spans="1:15">
      <c r="A324" s="7" t="s">
        <v>865</v>
      </c>
      <c r="B324" s="6" t="s">
        <v>532</v>
      </c>
      <c r="C324" s="74" t="s">
        <v>254</v>
      </c>
      <c r="D324" s="75" t="s">
        <v>270</v>
      </c>
      <c r="E324" s="7" t="s">
        <v>9</v>
      </c>
      <c r="F324" s="76" t="s">
        <v>275</v>
      </c>
      <c r="G324" s="72" t="s">
        <v>40</v>
      </c>
      <c r="H324" s="34">
        <v>1</v>
      </c>
      <c r="I324" s="71" t="s">
        <v>320</v>
      </c>
      <c r="J324" s="32">
        <v>1</v>
      </c>
      <c r="K324" s="33">
        <f>VLOOKUP(E324,照明設備稼働時間!$A$4:$F$72,5,FALSE)</f>
        <v>8760</v>
      </c>
      <c r="L324" s="33" t="str">
        <f t="shared" ref="L324:L387" si="10">G324&amp;H324&amp;I324</f>
        <v>FL20W1避難口誘導灯</v>
      </c>
      <c r="M324" s="33">
        <f>VLOOKUP(L324,照明器具一覧!$B$4:$F$155,5,FALSE)</f>
        <v>22</v>
      </c>
      <c r="N324" s="7">
        <v>1</v>
      </c>
      <c r="O324" s="82">
        <f t="shared" ref="O324:O387" si="11">(J324*K324*M324*N324)/1000</f>
        <v>192.72</v>
      </c>
    </row>
    <row r="325" spans="1:15">
      <c r="A325" s="7" t="s">
        <v>866</v>
      </c>
      <c r="B325" s="6" t="s">
        <v>532</v>
      </c>
      <c r="C325" s="74" t="s">
        <v>243</v>
      </c>
      <c r="D325" s="75" t="s">
        <v>270</v>
      </c>
      <c r="E325" s="7" t="s">
        <v>9</v>
      </c>
      <c r="F325" s="76" t="s">
        <v>244</v>
      </c>
      <c r="G325" s="72" t="s">
        <v>40</v>
      </c>
      <c r="H325" s="34">
        <v>1</v>
      </c>
      <c r="I325" s="71" t="s">
        <v>322</v>
      </c>
      <c r="J325" s="32">
        <v>1</v>
      </c>
      <c r="K325" s="33">
        <f>VLOOKUP(E325,照明設備稼働時間!$A$4:$F$72,5,FALSE)</f>
        <v>8760</v>
      </c>
      <c r="L325" s="33" t="str">
        <f t="shared" si="10"/>
        <v>FL20W1通路誘導灯</v>
      </c>
      <c r="M325" s="33">
        <f>VLOOKUP(L325,照明器具一覧!$B$4:$F$155,5,FALSE)</f>
        <v>22</v>
      </c>
      <c r="N325" s="7">
        <v>1</v>
      </c>
      <c r="O325" s="82">
        <f t="shared" si="11"/>
        <v>192.72</v>
      </c>
    </row>
    <row r="326" spans="1:15">
      <c r="A326" s="7" t="s">
        <v>867</v>
      </c>
      <c r="B326" s="6" t="s">
        <v>533</v>
      </c>
      <c r="C326" s="74" t="s">
        <v>248</v>
      </c>
      <c r="D326" s="75" t="s">
        <v>270</v>
      </c>
      <c r="E326" s="7" t="s">
        <v>9</v>
      </c>
      <c r="F326" s="76" t="s">
        <v>246</v>
      </c>
      <c r="G326" s="72" t="s">
        <v>328</v>
      </c>
      <c r="H326" s="34">
        <v>1</v>
      </c>
      <c r="I326" s="71" t="s">
        <v>335</v>
      </c>
      <c r="J326" s="32">
        <v>1</v>
      </c>
      <c r="K326" s="33">
        <f>VLOOKUP(E326,照明設備稼働時間!$A$4:$F$72,5,FALSE)</f>
        <v>8760</v>
      </c>
      <c r="L326" s="33" t="str">
        <f t="shared" si="10"/>
        <v>LED1避難表示灯　FA20380</v>
      </c>
      <c r="M326" s="33">
        <f>VLOOKUP(L326,照明器具一覧!$B$4:$F$155,5,FALSE)</f>
        <v>2.6</v>
      </c>
      <c r="N326" s="7">
        <v>1</v>
      </c>
      <c r="O326" s="82">
        <f t="shared" si="11"/>
        <v>22.776</v>
      </c>
    </row>
    <row r="327" spans="1:15">
      <c r="A327" s="7" t="s">
        <v>868</v>
      </c>
      <c r="B327" s="6" t="s">
        <v>532</v>
      </c>
      <c r="C327" s="74" t="s">
        <v>247</v>
      </c>
      <c r="D327" s="75" t="s">
        <v>270</v>
      </c>
      <c r="E327" s="7" t="s">
        <v>9</v>
      </c>
      <c r="F327" s="76" t="s">
        <v>245</v>
      </c>
      <c r="G327" s="72" t="s">
        <v>40</v>
      </c>
      <c r="H327" s="34">
        <v>1</v>
      </c>
      <c r="I327" s="71" t="s">
        <v>320</v>
      </c>
      <c r="J327" s="32">
        <v>1</v>
      </c>
      <c r="K327" s="33">
        <f>VLOOKUP(E327,照明設備稼働時間!$A$4:$F$72,5,FALSE)</f>
        <v>8760</v>
      </c>
      <c r="L327" s="33" t="str">
        <f t="shared" si="10"/>
        <v>FL20W1避難口誘導灯</v>
      </c>
      <c r="M327" s="33">
        <f>VLOOKUP(L327,照明器具一覧!$B$4:$F$155,5,FALSE)</f>
        <v>22</v>
      </c>
      <c r="N327" s="7">
        <v>1</v>
      </c>
      <c r="O327" s="82">
        <f t="shared" si="11"/>
        <v>192.72</v>
      </c>
    </row>
    <row r="328" spans="1:15">
      <c r="A328" s="7" t="s">
        <v>869</v>
      </c>
      <c r="B328" s="6" t="s">
        <v>532</v>
      </c>
      <c r="C328" s="74" t="s">
        <v>286</v>
      </c>
      <c r="D328" s="75" t="s">
        <v>11</v>
      </c>
      <c r="E328" s="7" t="s">
        <v>515</v>
      </c>
      <c r="F328" s="76" t="s">
        <v>132</v>
      </c>
      <c r="G328" s="72" t="s">
        <v>284</v>
      </c>
      <c r="H328" s="34">
        <v>1</v>
      </c>
      <c r="I328" s="71" t="s">
        <v>237</v>
      </c>
      <c r="J328" s="32">
        <v>5</v>
      </c>
      <c r="K328" s="33">
        <f>VLOOKUP(E328,照明設備稼働時間!$A$4:$F$72,5,FALSE)</f>
        <v>0</v>
      </c>
      <c r="L328" s="33" t="str">
        <f t="shared" si="10"/>
        <v>IL40W1非常灯　電源別置　φ100</v>
      </c>
      <c r="M328" s="33">
        <f>VLOOKUP(L328,照明器具一覧!$B$4:$F$155,5,FALSE)</f>
        <v>40</v>
      </c>
      <c r="N328" s="7">
        <v>1</v>
      </c>
      <c r="O328" s="82">
        <f t="shared" si="11"/>
        <v>0</v>
      </c>
    </row>
    <row r="329" spans="1:15">
      <c r="A329" s="7" t="s">
        <v>870</v>
      </c>
      <c r="B329" s="6" t="s">
        <v>532</v>
      </c>
      <c r="C329" s="74" t="s">
        <v>26</v>
      </c>
      <c r="D329" s="75" t="s">
        <v>11</v>
      </c>
      <c r="E329" s="7" t="s">
        <v>515</v>
      </c>
      <c r="F329" s="76" t="s">
        <v>134</v>
      </c>
      <c r="G329" s="72" t="s">
        <v>284</v>
      </c>
      <c r="H329" s="34">
        <v>1</v>
      </c>
      <c r="I329" s="71" t="s">
        <v>237</v>
      </c>
      <c r="J329" s="32">
        <v>1</v>
      </c>
      <c r="K329" s="33">
        <f>VLOOKUP(E329,照明設備稼働時間!$A$4:$F$72,5,FALSE)</f>
        <v>0</v>
      </c>
      <c r="L329" s="33" t="str">
        <f t="shared" si="10"/>
        <v>IL40W1非常灯　電源別置　φ100</v>
      </c>
      <c r="M329" s="33">
        <f>VLOOKUP(L329,照明器具一覧!$B$4:$F$155,5,FALSE)</f>
        <v>40</v>
      </c>
      <c r="N329" s="7">
        <v>1</v>
      </c>
      <c r="O329" s="82">
        <f t="shared" si="11"/>
        <v>0</v>
      </c>
    </row>
    <row r="330" spans="1:15">
      <c r="A330" s="7" t="s">
        <v>871</v>
      </c>
      <c r="B330" s="6" t="s">
        <v>532</v>
      </c>
      <c r="C330" s="74" t="s">
        <v>26</v>
      </c>
      <c r="D330" s="75" t="s">
        <v>11</v>
      </c>
      <c r="E330" s="7" t="s">
        <v>515</v>
      </c>
      <c r="F330" s="76" t="s">
        <v>154</v>
      </c>
      <c r="G330" s="72" t="s">
        <v>284</v>
      </c>
      <c r="H330" s="34">
        <v>1</v>
      </c>
      <c r="I330" s="71" t="s">
        <v>237</v>
      </c>
      <c r="J330" s="32">
        <v>1</v>
      </c>
      <c r="K330" s="33">
        <f>VLOOKUP(E330,照明設備稼働時間!$A$4:$F$72,5,FALSE)</f>
        <v>0</v>
      </c>
      <c r="L330" s="33" t="str">
        <f t="shared" si="10"/>
        <v>IL40W1非常灯　電源別置　φ100</v>
      </c>
      <c r="M330" s="33">
        <f>VLOOKUP(L330,照明器具一覧!$B$4:$F$155,5,FALSE)</f>
        <v>40</v>
      </c>
      <c r="N330" s="7">
        <v>1</v>
      </c>
      <c r="O330" s="82">
        <f t="shared" si="11"/>
        <v>0</v>
      </c>
    </row>
    <row r="331" spans="1:15">
      <c r="A331" s="7" t="s">
        <v>872</v>
      </c>
      <c r="B331" s="6" t="s">
        <v>532</v>
      </c>
      <c r="C331" s="74" t="s">
        <v>26</v>
      </c>
      <c r="D331" s="75" t="s">
        <v>11</v>
      </c>
      <c r="E331" s="7" t="s">
        <v>515</v>
      </c>
      <c r="F331" s="76" t="s">
        <v>155</v>
      </c>
      <c r="G331" s="72" t="s">
        <v>284</v>
      </c>
      <c r="H331" s="34">
        <v>1</v>
      </c>
      <c r="I331" s="71" t="s">
        <v>237</v>
      </c>
      <c r="J331" s="32">
        <v>1</v>
      </c>
      <c r="K331" s="33">
        <f>VLOOKUP(E331,照明設備稼働時間!$A$4:$F$72,5,FALSE)</f>
        <v>0</v>
      </c>
      <c r="L331" s="33" t="str">
        <f t="shared" si="10"/>
        <v>IL40W1非常灯　電源別置　φ100</v>
      </c>
      <c r="M331" s="33">
        <f>VLOOKUP(L331,照明器具一覧!$B$4:$F$155,5,FALSE)</f>
        <v>40</v>
      </c>
      <c r="N331" s="7">
        <v>1</v>
      </c>
      <c r="O331" s="82">
        <f t="shared" si="11"/>
        <v>0</v>
      </c>
    </row>
    <row r="332" spans="1:15">
      <c r="A332" s="7" t="s">
        <v>873</v>
      </c>
      <c r="B332" s="6" t="s">
        <v>532</v>
      </c>
      <c r="C332" s="74" t="s">
        <v>26</v>
      </c>
      <c r="D332" s="75" t="s">
        <v>11</v>
      </c>
      <c r="E332" s="7" t="s">
        <v>515</v>
      </c>
      <c r="F332" s="76" t="s">
        <v>156</v>
      </c>
      <c r="G332" s="72" t="s">
        <v>284</v>
      </c>
      <c r="H332" s="34">
        <v>1</v>
      </c>
      <c r="I332" s="71" t="s">
        <v>237</v>
      </c>
      <c r="J332" s="32">
        <v>1</v>
      </c>
      <c r="K332" s="33">
        <f>VLOOKUP(E332,照明設備稼働時間!$A$4:$F$72,5,FALSE)</f>
        <v>0</v>
      </c>
      <c r="L332" s="33" t="str">
        <f t="shared" si="10"/>
        <v>IL40W1非常灯　電源別置　φ100</v>
      </c>
      <c r="M332" s="33">
        <f>VLOOKUP(L332,照明器具一覧!$B$4:$F$155,5,FALSE)</f>
        <v>40</v>
      </c>
      <c r="N332" s="7">
        <v>1</v>
      </c>
      <c r="O332" s="82">
        <f t="shared" si="11"/>
        <v>0</v>
      </c>
    </row>
    <row r="333" spans="1:15">
      <c r="A333" s="7" t="s">
        <v>874</v>
      </c>
      <c r="B333" s="6" t="s">
        <v>532</v>
      </c>
      <c r="C333" s="74" t="s">
        <v>66</v>
      </c>
      <c r="D333" s="75" t="s">
        <v>11</v>
      </c>
      <c r="E333" s="7" t="s">
        <v>509</v>
      </c>
      <c r="F333" s="76" t="s">
        <v>85</v>
      </c>
      <c r="G333" s="72" t="s">
        <v>105</v>
      </c>
      <c r="H333" s="34">
        <v>1</v>
      </c>
      <c r="I333" s="71" t="s">
        <v>250</v>
      </c>
      <c r="J333" s="32">
        <v>1</v>
      </c>
      <c r="K333" s="33">
        <f>VLOOKUP(E333,照明設備稼働時間!$A$4:$F$72,5,FALSE)</f>
        <v>4172</v>
      </c>
      <c r="L333" s="33" t="str">
        <f t="shared" si="10"/>
        <v>FLR40W1階段灯　非常灯兼用　電池内蔵</v>
      </c>
      <c r="M333" s="33">
        <f>VLOOKUP(L333,照明器具一覧!$B$4:$F$155,5,FALSE)</f>
        <v>44</v>
      </c>
      <c r="N333" s="7">
        <v>1</v>
      </c>
      <c r="O333" s="82">
        <f t="shared" si="11"/>
        <v>183.56800000000001</v>
      </c>
    </row>
    <row r="334" spans="1:15">
      <c r="A334" s="7" t="s">
        <v>875</v>
      </c>
      <c r="B334" s="6" t="s">
        <v>532</v>
      </c>
      <c r="C334" s="74" t="s">
        <v>66</v>
      </c>
      <c r="D334" s="75" t="s">
        <v>11</v>
      </c>
      <c r="E334" s="7" t="s">
        <v>509</v>
      </c>
      <c r="F334" s="76" t="s">
        <v>85</v>
      </c>
      <c r="G334" s="72" t="s">
        <v>105</v>
      </c>
      <c r="H334" s="34">
        <v>1</v>
      </c>
      <c r="I334" s="71" t="s">
        <v>250</v>
      </c>
      <c r="J334" s="32">
        <v>1</v>
      </c>
      <c r="K334" s="33">
        <f>VLOOKUP(E334,照明設備稼働時間!$A$4:$F$72,5,FALSE)</f>
        <v>4172</v>
      </c>
      <c r="L334" s="33" t="str">
        <f t="shared" si="10"/>
        <v>FLR40W1階段灯　非常灯兼用　電池内蔵</v>
      </c>
      <c r="M334" s="33">
        <f>VLOOKUP(L334,照明器具一覧!$B$4:$F$155,5,FALSE)</f>
        <v>44</v>
      </c>
      <c r="N334" s="7">
        <v>1</v>
      </c>
      <c r="O334" s="82">
        <f t="shared" si="11"/>
        <v>183.56800000000001</v>
      </c>
    </row>
    <row r="335" spans="1:15">
      <c r="A335" s="7" t="s">
        <v>876</v>
      </c>
      <c r="B335" s="6" t="s">
        <v>532</v>
      </c>
      <c r="C335" s="74" t="s">
        <v>26</v>
      </c>
      <c r="D335" s="75" t="s">
        <v>11</v>
      </c>
      <c r="E335" s="7" t="s">
        <v>515</v>
      </c>
      <c r="F335" s="76" t="s">
        <v>163</v>
      </c>
      <c r="G335" s="72" t="s">
        <v>284</v>
      </c>
      <c r="H335" s="34">
        <v>1</v>
      </c>
      <c r="I335" s="71" t="s">
        <v>237</v>
      </c>
      <c r="J335" s="32">
        <v>1</v>
      </c>
      <c r="K335" s="33">
        <f>VLOOKUP(E335,照明設備稼働時間!$A$4:$F$72,5,FALSE)</f>
        <v>0</v>
      </c>
      <c r="L335" s="33" t="str">
        <f t="shared" si="10"/>
        <v>IL40W1非常灯　電源別置　φ100</v>
      </c>
      <c r="M335" s="33">
        <f>VLOOKUP(L335,照明器具一覧!$B$4:$F$155,5,FALSE)</f>
        <v>40</v>
      </c>
      <c r="N335" s="7">
        <v>1</v>
      </c>
      <c r="O335" s="82">
        <f t="shared" si="11"/>
        <v>0</v>
      </c>
    </row>
    <row r="336" spans="1:15">
      <c r="A336" s="7" t="s">
        <v>877</v>
      </c>
      <c r="B336" s="6" t="s">
        <v>532</v>
      </c>
      <c r="C336" s="74" t="s">
        <v>26</v>
      </c>
      <c r="D336" s="75" t="s">
        <v>11</v>
      </c>
      <c r="E336" s="7" t="s">
        <v>515</v>
      </c>
      <c r="F336" s="76" t="s">
        <v>164</v>
      </c>
      <c r="G336" s="72" t="s">
        <v>284</v>
      </c>
      <c r="H336" s="34">
        <v>1</v>
      </c>
      <c r="I336" s="71" t="s">
        <v>237</v>
      </c>
      <c r="J336" s="32">
        <v>2</v>
      </c>
      <c r="K336" s="33">
        <f>VLOOKUP(E336,照明設備稼働時間!$A$4:$F$72,5,FALSE)</f>
        <v>0</v>
      </c>
      <c r="L336" s="33" t="str">
        <f t="shared" si="10"/>
        <v>IL40W1非常灯　電源別置　φ100</v>
      </c>
      <c r="M336" s="33">
        <f>VLOOKUP(L336,照明器具一覧!$B$4:$F$155,5,FALSE)</f>
        <v>40</v>
      </c>
      <c r="N336" s="7">
        <v>1</v>
      </c>
      <c r="O336" s="82">
        <f t="shared" si="11"/>
        <v>0</v>
      </c>
    </row>
    <row r="337" spans="1:15">
      <c r="A337" s="7" t="s">
        <v>878</v>
      </c>
      <c r="B337" s="6" t="s">
        <v>532</v>
      </c>
      <c r="C337" s="74" t="s">
        <v>26</v>
      </c>
      <c r="D337" s="75" t="s">
        <v>11</v>
      </c>
      <c r="E337" s="7" t="s">
        <v>515</v>
      </c>
      <c r="F337" s="76" t="s">
        <v>36</v>
      </c>
      <c r="G337" s="72" t="s">
        <v>284</v>
      </c>
      <c r="H337" s="34">
        <v>1</v>
      </c>
      <c r="I337" s="71" t="s">
        <v>237</v>
      </c>
      <c r="J337" s="32">
        <v>1</v>
      </c>
      <c r="K337" s="33">
        <f>VLOOKUP(E337,照明設備稼働時間!$A$4:$F$72,5,FALSE)</f>
        <v>0</v>
      </c>
      <c r="L337" s="33" t="str">
        <f t="shared" si="10"/>
        <v>IL40W1非常灯　電源別置　φ100</v>
      </c>
      <c r="M337" s="33">
        <f>VLOOKUP(L337,照明器具一覧!$B$4:$F$155,5,FALSE)</f>
        <v>40</v>
      </c>
      <c r="N337" s="7">
        <v>1</v>
      </c>
      <c r="O337" s="82">
        <f t="shared" si="11"/>
        <v>0</v>
      </c>
    </row>
    <row r="338" spans="1:15">
      <c r="A338" s="7" t="s">
        <v>879</v>
      </c>
      <c r="B338" s="6" t="s">
        <v>532</v>
      </c>
      <c r="C338" s="74" t="s">
        <v>26</v>
      </c>
      <c r="D338" s="75" t="s">
        <v>11</v>
      </c>
      <c r="E338" s="7" t="s">
        <v>515</v>
      </c>
      <c r="F338" s="76" t="s">
        <v>36</v>
      </c>
      <c r="G338" s="72" t="s">
        <v>284</v>
      </c>
      <c r="H338" s="34">
        <v>1</v>
      </c>
      <c r="I338" s="71" t="s">
        <v>237</v>
      </c>
      <c r="J338" s="32">
        <v>2</v>
      </c>
      <c r="K338" s="33">
        <f>VLOOKUP(E338,照明設備稼働時間!$A$4:$F$72,5,FALSE)</f>
        <v>0</v>
      </c>
      <c r="L338" s="33" t="str">
        <f t="shared" si="10"/>
        <v>IL40W1非常灯　電源別置　φ100</v>
      </c>
      <c r="M338" s="33">
        <f>VLOOKUP(L338,照明器具一覧!$B$4:$F$155,5,FALSE)</f>
        <v>40</v>
      </c>
      <c r="N338" s="7">
        <v>1</v>
      </c>
      <c r="O338" s="82">
        <f t="shared" si="11"/>
        <v>0</v>
      </c>
    </row>
    <row r="339" spans="1:15">
      <c r="A339" s="7" t="s">
        <v>880</v>
      </c>
      <c r="B339" s="6" t="s">
        <v>532</v>
      </c>
      <c r="C339" s="74" t="s">
        <v>26</v>
      </c>
      <c r="D339" s="75" t="s">
        <v>11</v>
      </c>
      <c r="E339" s="7" t="s">
        <v>515</v>
      </c>
      <c r="F339" s="76" t="s">
        <v>136</v>
      </c>
      <c r="G339" s="72" t="s">
        <v>284</v>
      </c>
      <c r="H339" s="34">
        <v>1</v>
      </c>
      <c r="I339" s="71" t="s">
        <v>237</v>
      </c>
      <c r="J339" s="32">
        <v>1</v>
      </c>
      <c r="K339" s="33">
        <f>VLOOKUP(E339,照明設備稼働時間!$A$4:$F$72,5,FALSE)</f>
        <v>0</v>
      </c>
      <c r="L339" s="33" t="str">
        <f t="shared" si="10"/>
        <v>IL40W1非常灯　電源別置　φ100</v>
      </c>
      <c r="M339" s="33">
        <f>VLOOKUP(L339,照明器具一覧!$B$4:$F$155,5,FALSE)</f>
        <v>40</v>
      </c>
      <c r="N339" s="7">
        <v>1</v>
      </c>
      <c r="O339" s="82">
        <f t="shared" si="11"/>
        <v>0</v>
      </c>
    </row>
    <row r="340" spans="1:15">
      <c r="A340" s="7" t="s">
        <v>881</v>
      </c>
      <c r="B340" s="6" t="s">
        <v>532</v>
      </c>
      <c r="C340" s="74" t="s">
        <v>26</v>
      </c>
      <c r="D340" s="75" t="s">
        <v>11</v>
      </c>
      <c r="E340" s="7" t="s">
        <v>515</v>
      </c>
      <c r="F340" s="76" t="s">
        <v>88</v>
      </c>
      <c r="G340" s="72" t="s">
        <v>284</v>
      </c>
      <c r="H340" s="34">
        <v>1</v>
      </c>
      <c r="I340" s="71" t="s">
        <v>237</v>
      </c>
      <c r="J340" s="32">
        <v>1</v>
      </c>
      <c r="K340" s="33">
        <f>VLOOKUP(E340,照明設備稼働時間!$A$4:$F$72,5,FALSE)</f>
        <v>0</v>
      </c>
      <c r="L340" s="33" t="str">
        <f t="shared" si="10"/>
        <v>IL40W1非常灯　電源別置　φ100</v>
      </c>
      <c r="M340" s="33">
        <f>VLOOKUP(L340,照明器具一覧!$B$4:$F$155,5,FALSE)</f>
        <v>40</v>
      </c>
      <c r="N340" s="7">
        <v>1</v>
      </c>
      <c r="O340" s="82">
        <f t="shared" si="11"/>
        <v>0</v>
      </c>
    </row>
    <row r="341" spans="1:15">
      <c r="A341" s="7" t="s">
        <v>882</v>
      </c>
      <c r="B341" s="6" t="s">
        <v>532</v>
      </c>
      <c r="C341" s="74" t="s">
        <v>26</v>
      </c>
      <c r="D341" s="75" t="s">
        <v>11</v>
      </c>
      <c r="E341" s="7" t="s">
        <v>515</v>
      </c>
      <c r="F341" s="76" t="s">
        <v>87</v>
      </c>
      <c r="G341" s="72" t="s">
        <v>284</v>
      </c>
      <c r="H341" s="34">
        <v>1</v>
      </c>
      <c r="I341" s="71" t="s">
        <v>237</v>
      </c>
      <c r="J341" s="32">
        <v>1</v>
      </c>
      <c r="K341" s="33">
        <f>VLOOKUP(E341,照明設備稼働時間!$A$4:$F$72,5,FALSE)</f>
        <v>0</v>
      </c>
      <c r="L341" s="33" t="str">
        <f t="shared" si="10"/>
        <v>IL40W1非常灯　電源別置　φ100</v>
      </c>
      <c r="M341" s="33">
        <f>VLOOKUP(L341,照明器具一覧!$B$4:$F$155,5,FALSE)</f>
        <v>40</v>
      </c>
      <c r="N341" s="7">
        <v>1</v>
      </c>
      <c r="O341" s="82">
        <f t="shared" si="11"/>
        <v>0</v>
      </c>
    </row>
    <row r="342" spans="1:15">
      <c r="A342" s="7" t="s">
        <v>883</v>
      </c>
      <c r="B342" s="6" t="s">
        <v>532</v>
      </c>
      <c r="C342" s="74" t="s">
        <v>26</v>
      </c>
      <c r="D342" s="75" t="s">
        <v>11</v>
      </c>
      <c r="E342" s="7" t="s">
        <v>515</v>
      </c>
      <c r="F342" s="76" t="s">
        <v>167</v>
      </c>
      <c r="G342" s="72" t="s">
        <v>284</v>
      </c>
      <c r="H342" s="34">
        <v>1</v>
      </c>
      <c r="I342" s="71" t="s">
        <v>237</v>
      </c>
      <c r="J342" s="32">
        <v>1</v>
      </c>
      <c r="K342" s="33">
        <f>VLOOKUP(E342,照明設備稼働時間!$A$4:$F$72,5,FALSE)</f>
        <v>0</v>
      </c>
      <c r="L342" s="33" t="str">
        <f t="shared" si="10"/>
        <v>IL40W1非常灯　電源別置　φ100</v>
      </c>
      <c r="M342" s="33">
        <f>VLOOKUP(L342,照明器具一覧!$B$4:$F$155,5,FALSE)</f>
        <v>40</v>
      </c>
      <c r="N342" s="7">
        <v>1</v>
      </c>
      <c r="O342" s="82">
        <f t="shared" si="11"/>
        <v>0</v>
      </c>
    </row>
    <row r="343" spans="1:15">
      <c r="A343" s="7" t="s">
        <v>884</v>
      </c>
      <c r="B343" s="6" t="s">
        <v>532</v>
      </c>
      <c r="C343" s="74" t="s">
        <v>52</v>
      </c>
      <c r="D343" s="75" t="s">
        <v>11</v>
      </c>
      <c r="E343" s="7" t="s">
        <v>509</v>
      </c>
      <c r="F343" s="76" t="s">
        <v>37</v>
      </c>
      <c r="G343" s="72" t="s">
        <v>105</v>
      </c>
      <c r="H343" s="34">
        <v>1</v>
      </c>
      <c r="I343" s="71" t="s">
        <v>250</v>
      </c>
      <c r="J343" s="32">
        <v>1</v>
      </c>
      <c r="K343" s="33">
        <f>VLOOKUP(E343,照明設備稼働時間!$A$4:$F$72,5,FALSE)</f>
        <v>4172</v>
      </c>
      <c r="L343" s="33" t="str">
        <f t="shared" si="10"/>
        <v>FLR40W1階段灯　非常灯兼用　電池内蔵</v>
      </c>
      <c r="M343" s="33">
        <f>VLOOKUP(L343,照明器具一覧!$B$4:$F$155,5,FALSE)</f>
        <v>44</v>
      </c>
      <c r="N343" s="7">
        <v>1</v>
      </c>
      <c r="O343" s="82">
        <f t="shared" si="11"/>
        <v>183.56800000000001</v>
      </c>
    </row>
    <row r="344" spans="1:15">
      <c r="A344" s="7" t="s">
        <v>885</v>
      </c>
      <c r="B344" s="6" t="s">
        <v>532</v>
      </c>
      <c r="C344" s="74" t="s">
        <v>26</v>
      </c>
      <c r="D344" s="75" t="s">
        <v>11</v>
      </c>
      <c r="E344" s="7" t="s">
        <v>515</v>
      </c>
      <c r="F344" s="76" t="s">
        <v>36</v>
      </c>
      <c r="G344" s="72" t="s">
        <v>284</v>
      </c>
      <c r="H344" s="34">
        <v>1</v>
      </c>
      <c r="I344" s="71" t="s">
        <v>237</v>
      </c>
      <c r="J344" s="32">
        <v>2</v>
      </c>
      <c r="K344" s="33">
        <f>VLOOKUP(E344,照明設備稼働時間!$A$4:$F$72,5,FALSE)</f>
        <v>0</v>
      </c>
      <c r="L344" s="33" t="str">
        <f t="shared" si="10"/>
        <v>IL40W1非常灯　電源別置　φ100</v>
      </c>
      <c r="M344" s="33">
        <f>VLOOKUP(L344,照明器具一覧!$B$4:$F$155,5,FALSE)</f>
        <v>40</v>
      </c>
      <c r="N344" s="7">
        <v>1</v>
      </c>
      <c r="O344" s="82">
        <f t="shared" si="11"/>
        <v>0</v>
      </c>
    </row>
    <row r="345" spans="1:15">
      <c r="A345" s="7" t="s">
        <v>886</v>
      </c>
      <c r="B345" s="6" t="s">
        <v>532</v>
      </c>
      <c r="C345" s="74" t="s">
        <v>26</v>
      </c>
      <c r="D345" s="75" t="s">
        <v>11</v>
      </c>
      <c r="E345" s="7" t="s">
        <v>515</v>
      </c>
      <c r="F345" s="76" t="s">
        <v>173</v>
      </c>
      <c r="G345" s="72" t="s">
        <v>284</v>
      </c>
      <c r="H345" s="34">
        <v>1</v>
      </c>
      <c r="I345" s="71" t="s">
        <v>237</v>
      </c>
      <c r="J345" s="32">
        <v>1</v>
      </c>
      <c r="K345" s="33">
        <f>VLOOKUP(E345,照明設備稼働時間!$A$4:$F$72,5,FALSE)</f>
        <v>0</v>
      </c>
      <c r="L345" s="33" t="str">
        <f t="shared" si="10"/>
        <v>IL40W1非常灯　電源別置　φ100</v>
      </c>
      <c r="M345" s="33">
        <f>VLOOKUP(L345,照明器具一覧!$B$4:$F$155,5,FALSE)</f>
        <v>40</v>
      </c>
      <c r="N345" s="7">
        <v>1</v>
      </c>
      <c r="O345" s="82">
        <f t="shared" si="11"/>
        <v>0</v>
      </c>
    </row>
    <row r="346" spans="1:15">
      <c r="A346" s="7" t="s">
        <v>887</v>
      </c>
      <c r="B346" s="6" t="s">
        <v>532</v>
      </c>
      <c r="C346" s="74" t="s">
        <v>50</v>
      </c>
      <c r="D346" s="75" t="s">
        <v>10</v>
      </c>
      <c r="E346" s="7" t="s">
        <v>253</v>
      </c>
      <c r="F346" s="76" t="s">
        <v>174</v>
      </c>
      <c r="G346" s="72" t="s">
        <v>38</v>
      </c>
      <c r="H346" s="34">
        <v>1</v>
      </c>
      <c r="I346" s="71" t="s">
        <v>371</v>
      </c>
      <c r="J346" s="32">
        <v>3</v>
      </c>
      <c r="K346" s="33">
        <f>VLOOKUP(E346,照明設備稼働時間!$A$4:$F$72,5,FALSE)</f>
        <v>1236</v>
      </c>
      <c r="L346" s="33" t="str">
        <f t="shared" si="10"/>
        <v>FL40W1埋込W220</v>
      </c>
      <c r="M346" s="33">
        <f>VLOOKUP(L346,照明器具一覧!$B$4:$F$155,5,FALSE)</f>
        <v>47</v>
      </c>
      <c r="N346" s="7">
        <v>1</v>
      </c>
      <c r="O346" s="82">
        <f t="shared" si="11"/>
        <v>174.27600000000001</v>
      </c>
    </row>
    <row r="347" spans="1:15">
      <c r="A347" s="7" t="s">
        <v>888</v>
      </c>
      <c r="B347" s="6" t="s">
        <v>532</v>
      </c>
      <c r="C347" s="74" t="s">
        <v>46</v>
      </c>
      <c r="D347" s="75" t="s">
        <v>10</v>
      </c>
      <c r="E347" s="7" t="s">
        <v>253</v>
      </c>
      <c r="F347" s="76" t="s">
        <v>174</v>
      </c>
      <c r="G347" s="72" t="s">
        <v>38</v>
      </c>
      <c r="H347" s="34">
        <v>2</v>
      </c>
      <c r="I347" s="71" t="s">
        <v>359</v>
      </c>
      <c r="J347" s="32">
        <v>11</v>
      </c>
      <c r="K347" s="33">
        <f>VLOOKUP(E347,照明設備稼働時間!$A$4:$F$72,5,FALSE)</f>
        <v>1236</v>
      </c>
      <c r="L347" s="33" t="str">
        <f t="shared" si="10"/>
        <v>FL40W2埋込W300</v>
      </c>
      <c r="M347" s="33">
        <f>VLOOKUP(L347,照明器具一覧!$B$4:$F$155,5,FALSE)</f>
        <v>94</v>
      </c>
      <c r="N347" s="7">
        <v>1</v>
      </c>
      <c r="O347" s="82">
        <f t="shared" si="11"/>
        <v>1278.0239999999999</v>
      </c>
    </row>
    <row r="348" spans="1:15">
      <c r="A348" s="7" t="s">
        <v>889</v>
      </c>
      <c r="B348" s="6" t="s">
        <v>532</v>
      </c>
      <c r="C348" s="74" t="s">
        <v>68</v>
      </c>
      <c r="D348" s="75" t="s">
        <v>10</v>
      </c>
      <c r="E348" s="7" t="s">
        <v>253</v>
      </c>
      <c r="F348" s="76" t="s">
        <v>174</v>
      </c>
      <c r="G348" s="72" t="s">
        <v>39</v>
      </c>
      <c r="H348" s="34">
        <v>2</v>
      </c>
      <c r="I348" s="71" t="s">
        <v>393</v>
      </c>
      <c r="J348" s="32">
        <v>4</v>
      </c>
      <c r="K348" s="33">
        <f>VLOOKUP(E348,照明設備稼働時間!$A$4:$F$72,5,FALSE)</f>
        <v>1236</v>
      </c>
      <c r="L348" s="33" t="str">
        <f t="shared" si="10"/>
        <v>FL40SW ＋PIL100V40WS35E172埋込W300　非常照明　電源別置</v>
      </c>
      <c r="M348" s="33">
        <f>VLOOKUP(L348,照明器具一覧!$B$4:$F$155,5,FALSE)</f>
        <v>94</v>
      </c>
      <c r="N348" s="7">
        <v>1</v>
      </c>
      <c r="O348" s="82">
        <f t="shared" si="11"/>
        <v>464.73599999999999</v>
      </c>
    </row>
    <row r="349" spans="1:15">
      <c r="A349" s="7" t="s">
        <v>890</v>
      </c>
      <c r="B349" s="6" t="s">
        <v>532</v>
      </c>
      <c r="C349" s="74" t="s">
        <v>73</v>
      </c>
      <c r="D349" s="75" t="s">
        <v>10</v>
      </c>
      <c r="E349" s="7" t="s">
        <v>513</v>
      </c>
      <c r="F349" s="76" t="s">
        <v>175</v>
      </c>
      <c r="G349" s="72" t="s">
        <v>38</v>
      </c>
      <c r="H349" s="34">
        <v>1</v>
      </c>
      <c r="I349" s="71" t="s">
        <v>356</v>
      </c>
      <c r="J349" s="32">
        <v>3</v>
      </c>
      <c r="K349" s="33">
        <f>VLOOKUP(E349,照明設備稼働時間!$A$4:$F$72,5,FALSE)</f>
        <v>309</v>
      </c>
      <c r="L349" s="33" t="str">
        <f t="shared" si="10"/>
        <v>FL40W1逆富士</v>
      </c>
      <c r="M349" s="33">
        <f>VLOOKUP(L349,照明器具一覧!$B$4:$F$155,5,FALSE)</f>
        <v>47</v>
      </c>
      <c r="N349" s="7">
        <v>1</v>
      </c>
      <c r="O349" s="82">
        <f t="shared" si="11"/>
        <v>43.569000000000003</v>
      </c>
    </row>
    <row r="350" spans="1:15">
      <c r="A350" s="7" t="s">
        <v>891</v>
      </c>
      <c r="B350" s="6" t="s">
        <v>532</v>
      </c>
      <c r="C350" s="74" t="s">
        <v>68</v>
      </c>
      <c r="D350" s="75" t="s">
        <v>10</v>
      </c>
      <c r="E350" s="7" t="s">
        <v>253</v>
      </c>
      <c r="F350" s="76" t="s">
        <v>176</v>
      </c>
      <c r="G350" s="72" t="s">
        <v>39</v>
      </c>
      <c r="H350" s="34">
        <v>2</v>
      </c>
      <c r="I350" s="71" t="s">
        <v>393</v>
      </c>
      <c r="J350" s="32">
        <v>1</v>
      </c>
      <c r="K350" s="33">
        <f>VLOOKUP(E350,照明設備稼働時間!$A$4:$F$72,5,FALSE)</f>
        <v>1236</v>
      </c>
      <c r="L350" s="33" t="str">
        <f t="shared" si="10"/>
        <v>FL40SW ＋PIL100V40WS35E172埋込W300　非常照明　電源別置</v>
      </c>
      <c r="M350" s="33">
        <f>VLOOKUP(L350,照明器具一覧!$B$4:$F$155,5,FALSE)</f>
        <v>94</v>
      </c>
      <c r="N350" s="7">
        <v>1</v>
      </c>
      <c r="O350" s="82">
        <f t="shared" si="11"/>
        <v>116.184</v>
      </c>
    </row>
    <row r="351" spans="1:15">
      <c r="A351" s="7" t="s">
        <v>892</v>
      </c>
      <c r="B351" s="6" t="s">
        <v>532</v>
      </c>
      <c r="C351" s="74" t="s">
        <v>177</v>
      </c>
      <c r="D351" s="75" t="s">
        <v>10</v>
      </c>
      <c r="E351" s="7" t="s">
        <v>255</v>
      </c>
      <c r="F351" s="76" t="s">
        <v>178</v>
      </c>
      <c r="G351" s="72" t="s">
        <v>193</v>
      </c>
      <c r="H351" s="34">
        <v>1</v>
      </c>
      <c r="I351" s="71" t="s">
        <v>371</v>
      </c>
      <c r="J351" s="32">
        <v>24</v>
      </c>
      <c r="K351" s="33">
        <f>VLOOKUP(E351,照明設備稼働時間!$A$4:$F$72,5,FALSE)</f>
        <v>2627</v>
      </c>
      <c r="L351" s="33" t="str">
        <f t="shared" si="10"/>
        <v>FLR110W1埋込W220</v>
      </c>
      <c r="M351" s="33">
        <f>VLOOKUP(L351,照明器具一覧!$B$4:$F$155,5,FALSE)</f>
        <v>117</v>
      </c>
      <c r="N351" s="7">
        <v>0.5</v>
      </c>
      <c r="O351" s="82">
        <f t="shared" si="11"/>
        <v>3688.308</v>
      </c>
    </row>
    <row r="352" spans="1:15">
      <c r="A352" s="7" t="s">
        <v>893</v>
      </c>
      <c r="B352" s="6" t="s">
        <v>532</v>
      </c>
      <c r="C352" s="74" t="s">
        <v>117</v>
      </c>
      <c r="D352" s="75" t="s">
        <v>10</v>
      </c>
      <c r="E352" s="7" t="s">
        <v>255</v>
      </c>
      <c r="F352" s="76" t="s">
        <v>178</v>
      </c>
      <c r="G352" s="72" t="s">
        <v>108</v>
      </c>
      <c r="H352" s="34">
        <v>1</v>
      </c>
      <c r="I352" s="71" t="s">
        <v>414</v>
      </c>
      <c r="J352" s="32">
        <v>24</v>
      </c>
      <c r="K352" s="33">
        <f>VLOOKUP(E352,照明設備稼働時間!$A$4:$F$72,5,FALSE)</f>
        <v>2627</v>
      </c>
      <c r="L352" s="33" t="str">
        <f t="shared" si="10"/>
        <v>FDL27EX-N1ダウンライト　□250</v>
      </c>
      <c r="M352" s="33">
        <f>VLOOKUP(L352,照明器具一覧!$B$4:$F$155,5,FALSE)</f>
        <v>34</v>
      </c>
      <c r="N352" s="7">
        <v>1</v>
      </c>
      <c r="O352" s="82">
        <f t="shared" si="11"/>
        <v>2143.6320000000001</v>
      </c>
    </row>
    <row r="353" spans="1:15">
      <c r="A353" s="7" t="s">
        <v>894</v>
      </c>
      <c r="B353" s="6" t="s">
        <v>532</v>
      </c>
      <c r="C353" s="74" t="s">
        <v>251</v>
      </c>
      <c r="D353" s="75" t="s">
        <v>10</v>
      </c>
      <c r="E353" s="7" t="s">
        <v>255</v>
      </c>
      <c r="F353" s="76" t="s">
        <v>178</v>
      </c>
      <c r="G353" s="72" t="s">
        <v>340</v>
      </c>
      <c r="H353" s="34">
        <v>1</v>
      </c>
      <c r="I353" s="71" t="s">
        <v>415</v>
      </c>
      <c r="J353" s="32">
        <v>3</v>
      </c>
      <c r="K353" s="33">
        <f>VLOOKUP(E353,照明設備稼働時間!$A$4:$F$72,5,FALSE)</f>
        <v>2627</v>
      </c>
      <c r="L353" s="33" t="str">
        <f t="shared" si="10"/>
        <v>FDL18W1ダウンライト　埋込型蛍光灯</v>
      </c>
      <c r="M353" s="33">
        <f>VLOOKUP(L353,照明器具一覧!$B$4:$F$155,5,FALSE)</f>
        <v>22</v>
      </c>
      <c r="N353" s="7">
        <v>1</v>
      </c>
      <c r="O353" s="82">
        <f t="shared" si="11"/>
        <v>173.38200000000001</v>
      </c>
    </row>
    <row r="354" spans="1:15">
      <c r="A354" s="7" t="s">
        <v>895</v>
      </c>
      <c r="B354" s="6" t="s">
        <v>532</v>
      </c>
      <c r="C354" s="74" t="s">
        <v>341</v>
      </c>
      <c r="D354" s="75" t="s">
        <v>10</v>
      </c>
      <c r="E354" s="7" t="s">
        <v>255</v>
      </c>
      <c r="F354" s="76" t="s">
        <v>178</v>
      </c>
      <c r="G354" s="72" t="s">
        <v>416</v>
      </c>
      <c r="H354" s="34">
        <v>1</v>
      </c>
      <c r="I354" s="71" t="s">
        <v>417</v>
      </c>
      <c r="J354" s="32">
        <v>14</v>
      </c>
      <c r="K354" s="33">
        <f>VLOOKUP(E354,照明設備稼働時間!$A$4:$F$72,5,FALSE)</f>
        <v>2627</v>
      </c>
      <c r="L354" s="33" t="str">
        <f t="shared" si="10"/>
        <v>ﾐﾆﾊﾛｹﾞﾝ85W1ｽﾎﾟｯﾄﾗｲﾄ　ﾗｲﾃｨﾝｸﾞﾚｰﾙ用</v>
      </c>
      <c r="M354" s="33">
        <f>VLOOKUP(L354,照明器具一覧!$B$4:$F$155,5,FALSE)</f>
        <v>85</v>
      </c>
      <c r="N354" s="7">
        <v>1</v>
      </c>
      <c r="O354" s="82">
        <f t="shared" si="11"/>
        <v>3126.13</v>
      </c>
    </row>
    <row r="355" spans="1:15">
      <c r="A355" s="7" t="s">
        <v>896</v>
      </c>
      <c r="B355" s="6" t="s">
        <v>532</v>
      </c>
      <c r="C355" s="74" t="s">
        <v>46</v>
      </c>
      <c r="D355" s="75" t="s">
        <v>10</v>
      </c>
      <c r="E355" s="7" t="s">
        <v>257</v>
      </c>
      <c r="F355" s="76" t="s">
        <v>179</v>
      </c>
      <c r="G355" s="72" t="s">
        <v>38</v>
      </c>
      <c r="H355" s="34">
        <v>2</v>
      </c>
      <c r="I355" s="71" t="s">
        <v>359</v>
      </c>
      <c r="J355" s="32">
        <v>14</v>
      </c>
      <c r="K355" s="33">
        <f>VLOOKUP(E355,照明設備稼働時間!$A$4:$F$72,5,FALSE)</f>
        <v>2163</v>
      </c>
      <c r="L355" s="33" t="str">
        <f t="shared" si="10"/>
        <v>FL40W2埋込W300</v>
      </c>
      <c r="M355" s="33">
        <f>VLOOKUP(L355,照明器具一覧!$B$4:$F$155,5,FALSE)</f>
        <v>94</v>
      </c>
      <c r="N355" s="7">
        <v>1</v>
      </c>
      <c r="O355" s="82">
        <f t="shared" si="11"/>
        <v>2846.5079999999998</v>
      </c>
    </row>
    <row r="356" spans="1:15">
      <c r="A356" s="7" t="s">
        <v>897</v>
      </c>
      <c r="B356" s="6" t="s">
        <v>532</v>
      </c>
      <c r="C356" s="74" t="s">
        <v>68</v>
      </c>
      <c r="D356" s="75" t="s">
        <v>10</v>
      </c>
      <c r="E356" s="7" t="s">
        <v>257</v>
      </c>
      <c r="F356" s="76" t="s">
        <v>179</v>
      </c>
      <c r="G356" s="72" t="s">
        <v>39</v>
      </c>
      <c r="H356" s="34">
        <v>2</v>
      </c>
      <c r="I356" s="71" t="s">
        <v>393</v>
      </c>
      <c r="J356" s="32">
        <v>4</v>
      </c>
      <c r="K356" s="33">
        <f>VLOOKUP(E356,照明設備稼働時間!$A$4:$F$72,5,FALSE)</f>
        <v>2163</v>
      </c>
      <c r="L356" s="33" t="str">
        <f t="shared" si="10"/>
        <v>FL40SW ＋PIL100V40WS35E172埋込W300　非常照明　電源別置</v>
      </c>
      <c r="M356" s="33">
        <f>VLOOKUP(L356,照明器具一覧!$B$4:$F$155,5,FALSE)</f>
        <v>94</v>
      </c>
      <c r="N356" s="7">
        <v>1</v>
      </c>
      <c r="O356" s="82">
        <f t="shared" si="11"/>
        <v>813.28800000000001</v>
      </c>
    </row>
    <row r="357" spans="1:15">
      <c r="A357" s="7" t="s">
        <v>898</v>
      </c>
      <c r="B357" s="6" t="s">
        <v>532</v>
      </c>
      <c r="C357" s="74" t="s">
        <v>18</v>
      </c>
      <c r="D357" s="75" t="s">
        <v>10</v>
      </c>
      <c r="E357" s="7" t="s">
        <v>1100</v>
      </c>
      <c r="F357" s="76" t="s">
        <v>180</v>
      </c>
      <c r="G357" s="72" t="s">
        <v>38</v>
      </c>
      <c r="H357" s="34">
        <v>1</v>
      </c>
      <c r="I357" s="71" t="s">
        <v>373</v>
      </c>
      <c r="J357" s="32">
        <v>4</v>
      </c>
      <c r="K357" s="33">
        <f>VLOOKUP(E357,照明設備稼働時間!$A$4:$F$72,5,FALSE)</f>
        <v>618</v>
      </c>
      <c r="L357" s="33" t="str">
        <f t="shared" si="10"/>
        <v>FL40W1片反射</v>
      </c>
      <c r="M357" s="33">
        <f>VLOOKUP(L357,照明器具一覧!$B$4:$F$155,5,FALSE)</f>
        <v>47</v>
      </c>
      <c r="N357" s="7">
        <v>1</v>
      </c>
      <c r="O357" s="82">
        <f t="shared" si="11"/>
        <v>116.184</v>
      </c>
    </row>
    <row r="358" spans="1:15">
      <c r="A358" s="7" t="s">
        <v>899</v>
      </c>
      <c r="B358" s="6" t="s">
        <v>532</v>
      </c>
      <c r="C358" s="74" t="s">
        <v>21</v>
      </c>
      <c r="D358" s="75" t="s">
        <v>10</v>
      </c>
      <c r="E358" s="7" t="s">
        <v>1100</v>
      </c>
      <c r="F358" s="76" t="s">
        <v>180</v>
      </c>
      <c r="G358" s="72" t="s">
        <v>38</v>
      </c>
      <c r="H358" s="34">
        <v>1</v>
      </c>
      <c r="I358" s="71" t="s">
        <v>399</v>
      </c>
      <c r="J358" s="32">
        <v>4</v>
      </c>
      <c r="K358" s="33">
        <f>VLOOKUP(E358,照明設備稼働時間!$A$4:$F$72,5,FALSE)</f>
        <v>618</v>
      </c>
      <c r="L358" s="33" t="str">
        <f t="shared" si="10"/>
        <v>FL40W1笠付　パイプ吊</v>
      </c>
      <c r="M358" s="33">
        <f>VLOOKUP(L358,照明器具一覧!$B$4:$F$155,5,FALSE)</f>
        <v>47</v>
      </c>
      <c r="N358" s="7">
        <v>1</v>
      </c>
      <c r="O358" s="82">
        <f t="shared" si="11"/>
        <v>116.184</v>
      </c>
    </row>
    <row r="359" spans="1:15">
      <c r="A359" s="7" t="s">
        <v>900</v>
      </c>
      <c r="B359" s="6" t="s">
        <v>532</v>
      </c>
      <c r="C359" s="74" t="s">
        <v>124</v>
      </c>
      <c r="D359" s="75" t="s">
        <v>10</v>
      </c>
      <c r="E359" s="7" t="s">
        <v>1108</v>
      </c>
      <c r="F359" s="76" t="s">
        <v>181</v>
      </c>
      <c r="G359" s="72" t="s">
        <v>38</v>
      </c>
      <c r="H359" s="34">
        <v>2</v>
      </c>
      <c r="I359" s="71" t="s">
        <v>359</v>
      </c>
      <c r="J359" s="32">
        <v>10</v>
      </c>
      <c r="K359" s="33">
        <f>VLOOKUP(E359,照明設備稼働時間!$A$4:$F$72,5,FALSE)</f>
        <v>1236</v>
      </c>
      <c r="L359" s="33" t="str">
        <f t="shared" si="10"/>
        <v>FL40W2埋込W300</v>
      </c>
      <c r="M359" s="33">
        <f>VLOOKUP(L359,照明器具一覧!$B$4:$F$155,5,FALSE)</f>
        <v>94</v>
      </c>
      <c r="N359" s="7">
        <v>1</v>
      </c>
      <c r="O359" s="82">
        <f t="shared" si="11"/>
        <v>1161.8399999999999</v>
      </c>
    </row>
    <row r="360" spans="1:15">
      <c r="A360" s="7" t="s">
        <v>901</v>
      </c>
      <c r="B360" s="6" t="s">
        <v>532</v>
      </c>
      <c r="C360" s="74" t="s">
        <v>124</v>
      </c>
      <c r="D360" s="75" t="s">
        <v>10</v>
      </c>
      <c r="E360" s="7" t="s">
        <v>1108</v>
      </c>
      <c r="F360" s="76" t="s">
        <v>181</v>
      </c>
      <c r="G360" s="72" t="s">
        <v>38</v>
      </c>
      <c r="H360" s="34">
        <v>2</v>
      </c>
      <c r="I360" s="71" t="s">
        <v>359</v>
      </c>
      <c r="J360" s="32">
        <v>10</v>
      </c>
      <c r="K360" s="33">
        <f>VLOOKUP(E360,照明設備稼働時間!$A$4:$F$72,5,FALSE)</f>
        <v>1236</v>
      </c>
      <c r="L360" s="33" t="str">
        <f t="shared" si="10"/>
        <v>FL40W2埋込W300</v>
      </c>
      <c r="M360" s="33">
        <f>VLOOKUP(L360,照明器具一覧!$B$4:$F$155,5,FALSE)</f>
        <v>94</v>
      </c>
      <c r="N360" s="7">
        <v>1</v>
      </c>
      <c r="O360" s="82">
        <f t="shared" si="11"/>
        <v>1161.8399999999999</v>
      </c>
    </row>
    <row r="361" spans="1:15">
      <c r="A361" s="7" t="s">
        <v>902</v>
      </c>
      <c r="B361" s="6" t="s">
        <v>532</v>
      </c>
      <c r="C361" s="74" t="s">
        <v>16</v>
      </c>
      <c r="D361" s="75" t="s">
        <v>10</v>
      </c>
      <c r="E361" s="7" t="s">
        <v>513</v>
      </c>
      <c r="F361" s="76" t="s">
        <v>182</v>
      </c>
      <c r="G361" s="72" t="s">
        <v>38</v>
      </c>
      <c r="H361" s="34">
        <v>2</v>
      </c>
      <c r="I361" s="71" t="s">
        <v>356</v>
      </c>
      <c r="J361" s="32">
        <v>2</v>
      </c>
      <c r="K361" s="33">
        <f>VLOOKUP(E361,照明設備稼働時間!$A$4:$F$72,5,FALSE)</f>
        <v>309</v>
      </c>
      <c r="L361" s="33" t="str">
        <f t="shared" si="10"/>
        <v>FL40W2逆富士</v>
      </c>
      <c r="M361" s="33">
        <f>VLOOKUP(L361,照明器具一覧!$B$4:$F$155,5,FALSE)</f>
        <v>94</v>
      </c>
      <c r="N361" s="7">
        <v>1</v>
      </c>
      <c r="O361" s="82">
        <f t="shared" si="11"/>
        <v>58.091999999999999</v>
      </c>
    </row>
    <row r="362" spans="1:15">
      <c r="A362" s="7" t="s">
        <v>903</v>
      </c>
      <c r="B362" s="6" t="s">
        <v>532</v>
      </c>
      <c r="C362" s="74" t="s">
        <v>183</v>
      </c>
      <c r="D362" s="75" t="s">
        <v>10</v>
      </c>
      <c r="E362" s="7" t="s">
        <v>184</v>
      </c>
      <c r="F362" s="76" t="s">
        <v>266</v>
      </c>
      <c r="G362" s="72" t="s">
        <v>113</v>
      </c>
      <c r="H362" s="34">
        <v>2</v>
      </c>
      <c r="I362" s="71" t="s">
        <v>360</v>
      </c>
      <c r="J362" s="32">
        <v>1</v>
      </c>
      <c r="K362" s="33">
        <f>VLOOKUP(E362,照明設備稼働時間!$A$4:$F$72,5,FALSE)</f>
        <v>618</v>
      </c>
      <c r="L362" s="33" t="str">
        <f t="shared" si="10"/>
        <v>FPL55EX-N/22埋込　スクエア□350</v>
      </c>
      <c r="M362" s="33">
        <f>VLOOKUP(L362,照明器具一覧!$B$4:$F$155,5,FALSE)</f>
        <v>110</v>
      </c>
      <c r="N362" s="7">
        <v>1</v>
      </c>
      <c r="O362" s="82">
        <f t="shared" si="11"/>
        <v>67.98</v>
      </c>
    </row>
    <row r="363" spans="1:15">
      <c r="A363" s="7" t="s">
        <v>904</v>
      </c>
      <c r="B363" s="6" t="s">
        <v>532</v>
      </c>
      <c r="C363" s="74" t="s">
        <v>46</v>
      </c>
      <c r="D363" s="75" t="s">
        <v>10</v>
      </c>
      <c r="E363" s="7" t="s">
        <v>184</v>
      </c>
      <c r="F363" s="76" t="s">
        <v>184</v>
      </c>
      <c r="G363" s="72" t="s">
        <v>38</v>
      </c>
      <c r="H363" s="34">
        <v>2</v>
      </c>
      <c r="I363" s="71" t="s">
        <v>359</v>
      </c>
      <c r="J363" s="32">
        <v>8</v>
      </c>
      <c r="K363" s="33">
        <f>VLOOKUP(E363,照明設備稼働時間!$A$4:$F$72,5,FALSE)</f>
        <v>618</v>
      </c>
      <c r="L363" s="33" t="str">
        <f t="shared" si="10"/>
        <v>FL40W2埋込W300</v>
      </c>
      <c r="M363" s="33">
        <f>VLOOKUP(L363,照明器具一覧!$B$4:$F$155,5,FALSE)</f>
        <v>94</v>
      </c>
      <c r="N363" s="7">
        <v>1</v>
      </c>
      <c r="O363" s="82">
        <f t="shared" si="11"/>
        <v>464.73599999999999</v>
      </c>
    </row>
    <row r="364" spans="1:15">
      <c r="A364" s="7" t="s">
        <v>905</v>
      </c>
      <c r="B364" s="6" t="s">
        <v>532</v>
      </c>
      <c r="C364" s="74" t="s">
        <v>68</v>
      </c>
      <c r="D364" s="75" t="s">
        <v>10</v>
      </c>
      <c r="E364" s="7" t="s">
        <v>184</v>
      </c>
      <c r="F364" s="76" t="s">
        <v>184</v>
      </c>
      <c r="G364" s="72" t="s">
        <v>39</v>
      </c>
      <c r="H364" s="34">
        <v>2</v>
      </c>
      <c r="I364" s="71" t="s">
        <v>393</v>
      </c>
      <c r="J364" s="32">
        <v>4</v>
      </c>
      <c r="K364" s="33">
        <f>VLOOKUP(E364,照明設備稼働時間!$A$4:$F$72,5,FALSE)</f>
        <v>618</v>
      </c>
      <c r="L364" s="33" t="str">
        <f t="shared" si="10"/>
        <v>FL40SW ＋PIL100V40WS35E172埋込W300　非常照明　電源別置</v>
      </c>
      <c r="M364" s="33">
        <f>VLOOKUP(L364,照明器具一覧!$B$4:$F$155,5,FALSE)</f>
        <v>94</v>
      </c>
      <c r="N364" s="7">
        <v>1</v>
      </c>
      <c r="O364" s="82">
        <f t="shared" si="11"/>
        <v>232.36799999999999</v>
      </c>
    </row>
    <row r="365" spans="1:15">
      <c r="A365" s="7" t="s">
        <v>906</v>
      </c>
      <c r="B365" s="6" t="s">
        <v>532</v>
      </c>
      <c r="C365" s="74" t="s">
        <v>73</v>
      </c>
      <c r="D365" s="75" t="s">
        <v>10</v>
      </c>
      <c r="E365" s="7" t="s">
        <v>513</v>
      </c>
      <c r="F365" s="76" t="s">
        <v>185</v>
      </c>
      <c r="G365" s="72" t="s">
        <v>38</v>
      </c>
      <c r="H365" s="34">
        <v>1</v>
      </c>
      <c r="I365" s="71" t="s">
        <v>356</v>
      </c>
      <c r="J365" s="32">
        <v>1</v>
      </c>
      <c r="K365" s="33">
        <f>VLOOKUP(E365,照明設備稼働時間!$A$4:$F$72,5,FALSE)</f>
        <v>309</v>
      </c>
      <c r="L365" s="33" t="str">
        <f t="shared" si="10"/>
        <v>FL40W1逆富士</v>
      </c>
      <c r="M365" s="33">
        <f>VLOOKUP(L365,照明器具一覧!$B$4:$F$155,5,FALSE)</f>
        <v>47</v>
      </c>
      <c r="N365" s="7">
        <v>1</v>
      </c>
      <c r="O365" s="82">
        <f t="shared" si="11"/>
        <v>14.523</v>
      </c>
    </row>
    <row r="366" spans="1:15">
      <c r="A366" s="7" t="s">
        <v>907</v>
      </c>
      <c r="B366" s="6" t="s">
        <v>532</v>
      </c>
      <c r="C366" s="74" t="s">
        <v>25</v>
      </c>
      <c r="D366" s="75" t="s">
        <v>10</v>
      </c>
      <c r="E366" s="7" t="s">
        <v>259</v>
      </c>
      <c r="F366" s="76" t="s">
        <v>186</v>
      </c>
      <c r="G366" s="72" t="s">
        <v>38</v>
      </c>
      <c r="H366" s="34">
        <v>3</v>
      </c>
      <c r="I366" s="71" t="s">
        <v>359</v>
      </c>
      <c r="J366" s="32">
        <v>18</v>
      </c>
      <c r="K366" s="33">
        <f>VLOOKUP(E366,照明設備稼働時間!$A$4:$F$72,5,FALSE)</f>
        <v>927</v>
      </c>
      <c r="L366" s="33" t="str">
        <f t="shared" si="10"/>
        <v>FL40W3埋込W300</v>
      </c>
      <c r="M366" s="33">
        <f>VLOOKUP(L366,照明器具一覧!$B$4:$F$155,5,FALSE)</f>
        <v>141</v>
      </c>
      <c r="N366" s="7">
        <v>0.56999999999999995</v>
      </c>
      <c r="O366" s="82">
        <f t="shared" si="11"/>
        <v>1341.0538199999999</v>
      </c>
    </row>
    <row r="367" spans="1:15">
      <c r="A367" s="7" t="s">
        <v>908</v>
      </c>
      <c r="B367" s="6" t="s">
        <v>532</v>
      </c>
      <c r="C367" s="74" t="s">
        <v>16</v>
      </c>
      <c r="D367" s="75" t="s">
        <v>10</v>
      </c>
      <c r="E367" s="7" t="s">
        <v>513</v>
      </c>
      <c r="F367" s="76" t="s">
        <v>187</v>
      </c>
      <c r="G367" s="72" t="s">
        <v>38</v>
      </c>
      <c r="H367" s="34">
        <v>2</v>
      </c>
      <c r="I367" s="71" t="s">
        <v>356</v>
      </c>
      <c r="J367" s="32">
        <v>2</v>
      </c>
      <c r="K367" s="33">
        <f>VLOOKUP(E367,照明設備稼働時間!$A$4:$F$72,5,FALSE)</f>
        <v>309</v>
      </c>
      <c r="L367" s="33" t="str">
        <f t="shared" si="10"/>
        <v>FL40W2逆富士</v>
      </c>
      <c r="M367" s="33">
        <f>VLOOKUP(L367,照明器具一覧!$B$4:$F$155,5,FALSE)</f>
        <v>94</v>
      </c>
      <c r="N367" s="7">
        <v>1</v>
      </c>
      <c r="O367" s="82">
        <f t="shared" si="11"/>
        <v>58.091999999999999</v>
      </c>
    </row>
    <row r="368" spans="1:15">
      <c r="A368" s="7" t="s">
        <v>909</v>
      </c>
      <c r="B368" s="6" t="s">
        <v>532</v>
      </c>
      <c r="C368" s="74" t="s">
        <v>51</v>
      </c>
      <c r="D368" s="75" t="s">
        <v>10</v>
      </c>
      <c r="E368" s="7" t="s">
        <v>511</v>
      </c>
      <c r="F368" s="76" t="s">
        <v>135</v>
      </c>
      <c r="G368" s="72" t="s">
        <v>40</v>
      </c>
      <c r="H368" s="34">
        <v>2</v>
      </c>
      <c r="I368" s="71" t="s">
        <v>359</v>
      </c>
      <c r="J368" s="32">
        <v>1</v>
      </c>
      <c r="K368" s="33">
        <f>VLOOKUP(E368,照明設備稼働時間!$A$4:$F$72,5,FALSE)</f>
        <v>618</v>
      </c>
      <c r="L368" s="33" t="str">
        <f t="shared" si="10"/>
        <v>FL20W2埋込W300</v>
      </c>
      <c r="M368" s="33">
        <f>VLOOKUP(L368,照明器具一覧!$B$4:$F$155,5,FALSE)</f>
        <v>44</v>
      </c>
      <c r="N368" s="7">
        <v>1</v>
      </c>
      <c r="O368" s="82">
        <f t="shared" si="11"/>
        <v>27.192</v>
      </c>
    </row>
    <row r="369" spans="1:15">
      <c r="A369" s="7" t="s">
        <v>910</v>
      </c>
      <c r="B369" s="6" t="s">
        <v>532</v>
      </c>
      <c r="C369" s="74" t="s">
        <v>310</v>
      </c>
      <c r="D369" s="75" t="s">
        <v>10</v>
      </c>
      <c r="E369" s="7" t="s">
        <v>511</v>
      </c>
      <c r="F369" s="76" t="s">
        <v>135</v>
      </c>
      <c r="G369" s="72" t="s">
        <v>40</v>
      </c>
      <c r="H369" s="34">
        <v>2</v>
      </c>
      <c r="I369" s="71" t="s">
        <v>402</v>
      </c>
      <c r="J369" s="32">
        <v>1</v>
      </c>
      <c r="K369" s="33">
        <f>VLOOKUP(E369,照明設備稼働時間!$A$4:$F$72,5,FALSE)</f>
        <v>618</v>
      </c>
      <c r="L369" s="33" t="str">
        <f t="shared" si="10"/>
        <v>FL20W2流し元灯</v>
      </c>
      <c r="M369" s="33">
        <f>VLOOKUP(L369,照明器具一覧!$B$4:$F$155,5,FALSE)</f>
        <v>22</v>
      </c>
      <c r="N369" s="7">
        <v>1</v>
      </c>
      <c r="O369" s="82">
        <f t="shared" si="11"/>
        <v>13.596</v>
      </c>
    </row>
    <row r="370" spans="1:15">
      <c r="A370" s="7" t="s">
        <v>911</v>
      </c>
      <c r="B370" s="6" t="s">
        <v>532</v>
      </c>
      <c r="C370" s="74" t="s">
        <v>45</v>
      </c>
      <c r="D370" s="75" t="s">
        <v>10</v>
      </c>
      <c r="E370" s="7" t="s">
        <v>509</v>
      </c>
      <c r="F370" s="76" t="s">
        <v>136</v>
      </c>
      <c r="G370" s="72" t="s">
        <v>104</v>
      </c>
      <c r="H370" s="34">
        <v>1</v>
      </c>
      <c r="I370" s="71" t="s">
        <v>367</v>
      </c>
      <c r="J370" s="32">
        <v>1</v>
      </c>
      <c r="K370" s="33">
        <f>VLOOKUP(E370,照明設備稼働時間!$A$4:$F$72,5,FALSE)</f>
        <v>4172</v>
      </c>
      <c r="L370" s="33" t="str">
        <f t="shared" si="10"/>
        <v>FDL18EX-N1ダウンライト　φ150</v>
      </c>
      <c r="M370" s="33">
        <f>VLOOKUP(L370,照明器具一覧!$B$4:$F$155,5,FALSE)</f>
        <v>22</v>
      </c>
      <c r="N370" s="7">
        <v>1</v>
      </c>
      <c r="O370" s="82">
        <f t="shared" si="11"/>
        <v>91.784000000000006</v>
      </c>
    </row>
    <row r="371" spans="1:15">
      <c r="A371" s="7" t="s">
        <v>912</v>
      </c>
      <c r="B371" s="6" t="s">
        <v>532</v>
      </c>
      <c r="C371" s="74" t="s">
        <v>125</v>
      </c>
      <c r="D371" s="75" t="s">
        <v>10</v>
      </c>
      <c r="E371" s="7" t="s">
        <v>1098</v>
      </c>
      <c r="F371" s="76" t="s">
        <v>88</v>
      </c>
      <c r="G371" s="72" t="s">
        <v>40</v>
      </c>
      <c r="H371" s="34">
        <v>1</v>
      </c>
      <c r="I371" s="71" t="s">
        <v>403</v>
      </c>
      <c r="J371" s="32">
        <v>1</v>
      </c>
      <c r="K371" s="33">
        <f>VLOOKUP(E371,照明設備稼働時間!$A$4:$F$72,5,FALSE)</f>
        <v>1854</v>
      </c>
      <c r="L371" s="33" t="str">
        <f t="shared" si="10"/>
        <v>FL20W1埋込W190</v>
      </c>
      <c r="M371" s="33">
        <f>VLOOKUP(L371,照明器具一覧!$B$4:$F$155,5,FALSE)</f>
        <v>22</v>
      </c>
      <c r="N371" s="7">
        <v>1</v>
      </c>
      <c r="O371" s="82">
        <f t="shared" si="11"/>
        <v>40.787999999999997</v>
      </c>
    </row>
    <row r="372" spans="1:15">
      <c r="A372" s="7" t="s">
        <v>913</v>
      </c>
      <c r="B372" s="6" t="s">
        <v>532</v>
      </c>
      <c r="C372" s="74" t="s">
        <v>45</v>
      </c>
      <c r="D372" s="75" t="s">
        <v>10</v>
      </c>
      <c r="E372" s="7" t="s">
        <v>1098</v>
      </c>
      <c r="F372" s="76" t="s">
        <v>88</v>
      </c>
      <c r="G372" s="72" t="s">
        <v>104</v>
      </c>
      <c r="H372" s="34">
        <v>1</v>
      </c>
      <c r="I372" s="71" t="s">
        <v>367</v>
      </c>
      <c r="J372" s="32">
        <v>2</v>
      </c>
      <c r="K372" s="33">
        <f>VLOOKUP(E372,照明設備稼働時間!$A$4:$F$72,5,FALSE)</f>
        <v>1854</v>
      </c>
      <c r="L372" s="33" t="str">
        <f t="shared" si="10"/>
        <v>FDL18EX-N1ダウンライト　φ150</v>
      </c>
      <c r="M372" s="33">
        <f>VLOOKUP(L372,照明器具一覧!$B$4:$F$155,5,FALSE)</f>
        <v>22</v>
      </c>
      <c r="N372" s="7">
        <v>1</v>
      </c>
      <c r="O372" s="82">
        <f t="shared" si="11"/>
        <v>81.575999999999993</v>
      </c>
    </row>
    <row r="373" spans="1:15">
      <c r="A373" s="7" t="s">
        <v>914</v>
      </c>
      <c r="B373" s="6" t="s">
        <v>532</v>
      </c>
      <c r="C373" s="74" t="s">
        <v>55</v>
      </c>
      <c r="D373" s="75" t="s">
        <v>10</v>
      </c>
      <c r="E373" s="7" t="s">
        <v>1098</v>
      </c>
      <c r="F373" s="76" t="s">
        <v>88</v>
      </c>
      <c r="G373" s="72" t="s">
        <v>38</v>
      </c>
      <c r="H373" s="34">
        <v>1</v>
      </c>
      <c r="I373" s="71" t="s">
        <v>357</v>
      </c>
      <c r="J373" s="32">
        <v>3</v>
      </c>
      <c r="K373" s="33">
        <f>VLOOKUP(E373,照明設備稼働時間!$A$4:$F$72,5,FALSE)</f>
        <v>1854</v>
      </c>
      <c r="L373" s="33" t="str">
        <f t="shared" si="10"/>
        <v>FL40W1トラフ</v>
      </c>
      <c r="M373" s="33">
        <f>VLOOKUP(L373,照明器具一覧!$B$4:$F$155,5,FALSE)</f>
        <v>47</v>
      </c>
      <c r="N373" s="7">
        <v>1</v>
      </c>
      <c r="O373" s="82">
        <f t="shared" si="11"/>
        <v>261.41399999999999</v>
      </c>
    </row>
    <row r="374" spans="1:15">
      <c r="A374" s="7" t="s">
        <v>915</v>
      </c>
      <c r="B374" s="6" t="s">
        <v>532</v>
      </c>
      <c r="C374" s="74" t="s">
        <v>50</v>
      </c>
      <c r="D374" s="75" t="s">
        <v>10</v>
      </c>
      <c r="E374" s="7" t="s">
        <v>1098</v>
      </c>
      <c r="F374" s="76" t="s">
        <v>87</v>
      </c>
      <c r="G374" s="72" t="s">
        <v>38</v>
      </c>
      <c r="H374" s="34">
        <v>1</v>
      </c>
      <c r="I374" s="71" t="s">
        <v>371</v>
      </c>
      <c r="J374" s="32">
        <v>1</v>
      </c>
      <c r="K374" s="33">
        <f>VLOOKUP(E374,照明設備稼働時間!$A$4:$F$72,5,FALSE)</f>
        <v>1854</v>
      </c>
      <c r="L374" s="33" t="str">
        <f t="shared" si="10"/>
        <v>FL40W1埋込W220</v>
      </c>
      <c r="M374" s="33">
        <f>VLOOKUP(L374,照明器具一覧!$B$4:$F$155,5,FALSE)</f>
        <v>47</v>
      </c>
      <c r="N374" s="7">
        <v>1</v>
      </c>
      <c r="O374" s="82">
        <f t="shared" si="11"/>
        <v>87.138000000000005</v>
      </c>
    </row>
    <row r="375" spans="1:15">
      <c r="A375" s="7" t="s">
        <v>916</v>
      </c>
      <c r="B375" s="6" t="s">
        <v>532</v>
      </c>
      <c r="C375" s="74" t="s">
        <v>45</v>
      </c>
      <c r="D375" s="75" t="s">
        <v>10</v>
      </c>
      <c r="E375" s="7" t="s">
        <v>1098</v>
      </c>
      <c r="F375" s="76" t="s">
        <v>87</v>
      </c>
      <c r="G375" s="72" t="s">
        <v>104</v>
      </c>
      <c r="H375" s="34">
        <v>1</v>
      </c>
      <c r="I375" s="71" t="s">
        <v>367</v>
      </c>
      <c r="J375" s="32">
        <v>2</v>
      </c>
      <c r="K375" s="33">
        <f>VLOOKUP(E375,照明設備稼働時間!$A$4:$F$72,5,FALSE)</f>
        <v>1854</v>
      </c>
      <c r="L375" s="33" t="str">
        <f t="shared" si="10"/>
        <v>FDL18EX-N1ダウンライト　φ150</v>
      </c>
      <c r="M375" s="33">
        <f>VLOOKUP(L375,照明器具一覧!$B$4:$F$155,5,FALSE)</f>
        <v>22</v>
      </c>
      <c r="N375" s="7">
        <v>1</v>
      </c>
      <c r="O375" s="82">
        <f t="shared" si="11"/>
        <v>81.575999999999993</v>
      </c>
    </row>
    <row r="376" spans="1:15">
      <c r="A376" s="7" t="s">
        <v>917</v>
      </c>
      <c r="B376" s="6" t="s">
        <v>532</v>
      </c>
      <c r="C376" s="74" t="s">
        <v>55</v>
      </c>
      <c r="D376" s="75" t="s">
        <v>10</v>
      </c>
      <c r="E376" s="7" t="s">
        <v>1098</v>
      </c>
      <c r="F376" s="76" t="s">
        <v>87</v>
      </c>
      <c r="G376" s="72" t="s">
        <v>38</v>
      </c>
      <c r="H376" s="34">
        <v>1</v>
      </c>
      <c r="I376" s="71" t="s">
        <v>357</v>
      </c>
      <c r="J376" s="32">
        <v>2</v>
      </c>
      <c r="K376" s="33">
        <f>VLOOKUP(E376,照明設備稼働時間!$A$4:$F$72,5,FALSE)</f>
        <v>1854</v>
      </c>
      <c r="L376" s="33" t="str">
        <f t="shared" si="10"/>
        <v>FL40W1トラフ</v>
      </c>
      <c r="M376" s="33">
        <f>VLOOKUP(L376,照明器具一覧!$B$4:$F$155,5,FALSE)</f>
        <v>47</v>
      </c>
      <c r="N376" s="7">
        <v>1</v>
      </c>
      <c r="O376" s="82">
        <f t="shared" si="11"/>
        <v>174.27600000000001</v>
      </c>
    </row>
    <row r="377" spans="1:15">
      <c r="A377" s="7" t="s">
        <v>918</v>
      </c>
      <c r="B377" s="6" t="s">
        <v>532</v>
      </c>
      <c r="C377" s="74" t="s">
        <v>27</v>
      </c>
      <c r="D377" s="75" t="s">
        <v>10</v>
      </c>
      <c r="E377" s="7" t="s">
        <v>509</v>
      </c>
      <c r="F377" s="76" t="s">
        <v>36</v>
      </c>
      <c r="G377" s="72" t="s">
        <v>41</v>
      </c>
      <c r="H377" s="34">
        <v>2</v>
      </c>
      <c r="I377" s="71" t="s">
        <v>360</v>
      </c>
      <c r="J377" s="32">
        <v>5</v>
      </c>
      <c r="K377" s="33">
        <f>VLOOKUP(E377,照明設備稼働時間!$A$4:$F$72,5,FALSE)</f>
        <v>4172</v>
      </c>
      <c r="L377" s="33" t="str">
        <f t="shared" si="10"/>
        <v>FPL28EXN 2埋込　スクエア□350</v>
      </c>
      <c r="M377" s="33">
        <f>VLOOKUP(L377,照明器具一覧!$B$4:$F$155,5,FALSE)</f>
        <v>33</v>
      </c>
      <c r="N377" s="7">
        <v>0.5</v>
      </c>
      <c r="O377" s="82">
        <f t="shared" si="11"/>
        <v>344.19</v>
      </c>
    </row>
    <row r="378" spans="1:15">
      <c r="A378" s="7" t="s">
        <v>919</v>
      </c>
      <c r="B378" s="6" t="s">
        <v>532</v>
      </c>
      <c r="C378" s="74" t="s">
        <v>120</v>
      </c>
      <c r="D378" s="75" t="s">
        <v>10</v>
      </c>
      <c r="E378" s="7" t="s">
        <v>509</v>
      </c>
      <c r="F378" s="76" t="s">
        <v>36</v>
      </c>
      <c r="G378" s="72" t="s">
        <v>38</v>
      </c>
      <c r="H378" s="34">
        <v>2</v>
      </c>
      <c r="I378" s="71" t="s">
        <v>359</v>
      </c>
      <c r="J378" s="32">
        <v>13</v>
      </c>
      <c r="K378" s="33">
        <f>VLOOKUP(E378,照明設備稼働時間!$A$4:$F$72,5,FALSE)</f>
        <v>4172</v>
      </c>
      <c r="L378" s="33" t="str">
        <f t="shared" si="10"/>
        <v>FL40W2埋込W300</v>
      </c>
      <c r="M378" s="33">
        <f>VLOOKUP(L378,照明器具一覧!$B$4:$F$155,5,FALSE)</f>
        <v>94</v>
      </c>
      <c r="N378" s="7">
        <v>1</v>
      </c>
      <c r="O378" s="82">
        <f t="shared" si="11"/>
        <v>5098.1840000000002</v>
      </c>
    </row>
    <row r="379" spans="1:15">
      <c r="A379" s="7" t="s">
        <v>920</v>
      </c>
      <c r="B379" s="6" t="s">
        <v>532</v>
      </c>
      <c r="C379" s="74" t="s">
        <v>121</v>
      </c>
      <c r="D379" s="75" t="s">
        <v>10</v>
      </c>
      <c r="E379" s="7" t="s">
        <v>509</v>
      </c>
      <c r="F379" s="76" t="s">
        <v>36</v>
      </c>
      <c r="G379" s="72" t="s">
        <v>39</v>
      </c>
      <c r="H379" s="34">
        <v>2</v>
      </c>
      <c r="I379" s="71" t="s">
        <v>393</v>
      </c>
      <c r="J379" s="32">
        <v>3</v>
      </c>
      <c r="K379" s="33">
        <f>VLOOKUP(E379,照明設備稼働時間!$A$4:$F$72,5,FALSE)</f>
        <v>4172</v>
      </c>
      <c r="L379" s="33" t="str">
        <f t="shared" si="10"/>
        <v>FL40SW ＋PIL100V40WS35E172埋込W300　非常照明　電源別置</v>
      </c>
      <c r="M379" s="33">
        <f>VLOOKUP(L379,照明器具一覧!$B$4:$F$155,5,FALSE)</f>
        <v>94</v>
      </c>
      <c r="N379" s="7">
        <v>1</v>
      </c>
      <c r="O379" s="82">
        <f t="shared" si="11"/>
        <v>1176.5039999999999</v>
      </c>
    </row>
    <row r="380" spans="1:15">
      <c r="A380" s="7" t="s">
        <v>921</v>
      </c>
      <c r="B380" s="6" t="s">
        <v>532</v>
      </c>
      <c r="C380" s="74" t="s">
        <v>281</v>
      </c>
      <c r="D380" s="75" t="s">
        <v>10</v>
      </c>
      <c r="E380" s="7" t="s">
        <v>509</v>
      </c>
      <c r="F380" s="76" t="s">
        <v>342</v>
      </c>
      <c r="G380" s="72" t="s">
        <v>113</v>
      </c>
      <c r="H380" s="34">
        <v>2</v>
      </c>
      <c r="I380" s="71" t="s">
        <v>360</v>
      </c>
      <c r="J380" s="32">
        <v>2</v>
      </c>
      <c r="K380" s="33">
        <f>VLOOKUP(E380,照明設備稼働時間!$A$4:$F$72,5,FALSE)</f>
        <v>4172</v>
      </c>
      <c r="L380" s="33" t="str">
        <f t="shared" si="10"/>
        <v>FPL55EX-N/22埋込　スクエア□350</v>
      </c>
      <c r="M380" s="33">
        <f>VLOOKUP(L380,照明器具一覧!$B$4:$F$155,5,FALSE)</f>
        <v>110</v>
      </c>
      <c r="N380" s="7">
        <v>1</v>
      </c>
      <c r="O380" s="82">
        <f t="shared" si="11"/>
        <v>917.84</v>
      </c>
    </row>
    <row r="381" spans="1:15">
      <c r="A381" s="7" t="s">
        <v>922</v>
      </c>
      <c r="B381" s="6" t="s">
        <v>532</v>
      </c>
      <c r="C381" s="74" t="s">
        <v>68</v>
      </c>
      <c r="D381" s="75" t="s">
        <v>10</v>
      </c>
      <c r="E381" s="7" t="s">
        <v>260</v>
      </c>
      <c r="F381" s="76" t="s">
        <v>189</v>
      </c>
      <c r="G381" s="72" t="s">
        <v>39</v>
      </c>
      <c r="H381" s="34">
        <v>2</v>
      </c>
      <c r="I381" s="71" t="s">
        <v>393</v>
      </c>
      <c r="J381" s="32">
        <v>6</v>
      </c>
      <c r="K381" s="33">
        <f>VLOOKUP(E381,照明設備稼働時間!$A$4:$F$72,5,FALSE)</f>
        <v>2472</v>
      </c>
      <c r="L381" s="33" t="str">
        <f t="shared" si="10"/>
        <v>FL40SW ＋PIL100V40WS35E172埋込W300　非常照明　電源別置</v>
      </c>
      <c r="M381" s="33">
        <f>VLOOKUP(L381,照明器具一覧!$B$4:$F$155,5,FALSE)</f>
        <v>94</v>
      </c>
      <c r="N381" s="7">
        <v>1</v>
      </c>
      <c r="O381" s="82">
        <f t="shared" si="11"/>
        <v>1394.2080000000001</v>
      </c>
    </row>
    <row r="382" spans="1:15">
      <c r="A382" s="7" t="s">
        <v>923</v>
      </c>
      <c r="B382" s="6" t="s">
        <v>532</v>
      </c>
      <c r="C382" s="74" t="s">
        <v>46</v>
      </c>
      <c r="D382" s="75" t="s">
        <v>10</v>
      </c>
      <c r="E382" s="7" t="s">
        <v>260</v>
      </c>
      <c r="F382" s="76" t="s">
        <v>189</v>
      </c>
      <c r="G382" s="72" t="s">
        <v>38</v>
      </c>
      <c r="H382" s="34">
        <v>2</v>
      </c>
      <c r="I382" s="71" t="s">
        <v>359</v>
      </c>
      <c r="J382" s="32">
        <v>21</v>
      </c>
      <c r="K382" s="33">
        <f>VLOOKUP(E382,照明設備稼働時間!$A$4:$F$72,5,FALSE)</f>
        <v>2472</v>
      </c>
      <c r="L382" s="33" t="str">
        <f t="shared" si="10"/>
        <v>FL40W2埋込W300</v>
      </c>
      <c r="M382" s="33">
        <f>VLOOKUP(L382,照明器具一覧!$B$4:$F$155,5,FALSE)</f>
        <v>94</v>
      </c>
      <c r="N382" s="7">
        <v>1</v>
      </c>
      <c r="O382" s="82">
        <f t="shared" si="11"/>
        <v>4879.7280000000001</v>
      </c>
    </row>
    <row r="383" spans="1:15">
      <c r="A383" s="7" t="s">
        <v>924</v>
      </c>
      <c r="B383" s="6" t="s">
        <v>532</v>
      </c>
      <c r="C383" s="74" t="s">
        <v>46</v>
      </c>
      <c r="D383" s="75" t="s">
        <v>10</v>
      </c>
      <c r="E383" s="7" t="s">
        <v>513</v>
      </c>
      <c r="F383" s="76" t="s">
        <v>190</v>
      </c>
      <c r="G383" s="72" t="s">
        <v>38</v>
      </c>
      <c r="H383" s="34">
        <v>2</v>
      </c>
      <c r="I383" s="71" t="s">
        <v>359</v>
      </c>
      <c r="J383" s="32">
        <v>3</v>
      </c>
      <c r="K383" s="33">
        <f>VLOOKUP(E383,照明設備稼働時間!$A$4:$F$72,5,FALSE)</f>
        <v>309</v>
      </c>
      <c r="L383" s="33" t="str">
        <f t="shared" si="10"/>
        <v>FL40W2埋込W300</v>
      </c>
      <c r="M383" s="33">
        <f>VLOOKUP(L383,照明器具一覧!$B$4:$F$155,5,FALSE)</f>
        <v>94</v>
      </c>
      <c r="N383" s="7">
        <v>1</v>
      </c>
      <c r="O383" s="82">
        <f t="shared" si="11"/>
        <v>87.138000000000005</v>
      </c>
    </row>
    <row r="384" spans="1:15">
      <c r="A384" s="7" t="s">
        <v>925</v>
      </c>
      <c r="B384" s="6" t="s">
        <v>532</v>
      </c>
      <c r="C384" s="74" t="s">
        <v>25</v>
      </c>
      <c r="D384" s="75" t="s">
        <v>10</v>
      </c>
      <c r="E384" s="7" t="s">
        <v>1110</v>
      </c>
      <c r="F384" s="76" t="s">
        <v>252</v>
      </c>
      <c r="G384" s="72" t="s">
        <v>38</v>
      </c>
      <c r="H384" s="34">
        <v>3</v>
      </c>
      <c r="I384" s="71" t="s">
        <v>359</v>
      </c>
      <c r="J384" s="32">
        <v>6</v>
      </c>
      <c r="K384" s="33">
        <f>VLOOKUP(E384,照明設備稼働時間!$A$4:$F$72,5,FALSE)</f>
        <v>927</v>
      </c>
      <c r="L384" s="33" t="str">
        <f t="shared" si="10"/>
        <v>FL40W3埋込W300</v>
      </c>
      <c r="M384" s="33">
        <f>VLOOKUP(L384,照明器具一覧!$B$4:$F$155,5,FALSE)</f>
        <v>141</v>
      </c>
      <c r="N384" s="7">
        <v>1</v>
      </c>
      <c r="O384" s="82">
        <f t="shared" si="11"/>
        <v>784.24199999999996</v>
      </c>
    </row>
    <row r="385" spans="1:15">
      <c r="A385" s="7" t="s">
        <v>926</v>
      </c>
      <c r="B385" s="6" t="s">
        <v>532</v>
      </c>
      <c r="C385" s="74" t="s">
        <v>46</v>
      </c>
      <c r="D385" s="75" t="s">
        <v>10</v>
      </c>
      <c r="E385" s="7" t="s">
        <v>1077</v>
      </c>
      <c r="F385" s="76" t="s">
        <v>191</v>
      </c>
      <c r="G385" s="72" t="s">
        <v>38</v>
      </c>
      <c r="H385" s="34">
        <v>2</v>
      </c>
      <c r="I385" s="71" t="s">
        <v>359</v>
      </c>
      <c r="J385" s="32">
        <v>6</v>
      </c>
      <c r="K385" s="33">
        <f>VLOOKUP(E385,照明設備稼働時間!$A$4:$F$72,5,FALSE)</f>
        <v>2781</v>
      </c>
      <c r="L385" s="33" t="str">
        <f t="shared" si="10"/>
        <v>FL40W2埋込W300</v>
      </c>
      <c r="M385" s="33">
        <f>VLOOKUP(L385,照明器具一覧!$B$4:$F$155,5,FALSE)</f>
        <v>94</v>
      </c>
      <c r="N385" s="7">
        <v>1</v>
      </c>
      <c r="O385" s="82">
        <f t="shared" si="11"/>
        <v>1568.4839999999999</v>
      </c>
    </row>
    <row r="386" spans="1:15">
      <c r="A386" s="7" t="s">
        <v>927</v>
      </c>
      <c r="B386" s="6" t="s">
        <v>532</v>
      </c>
      <c r="C386" s="74" t="s">
        <v>68</v>
      </c>
      <c r="D386" s="75" t="s">
        <v>10</v>
      </c>
      <c r="E386" s="7" t="s">
        <v>1077</v>
      </c>
      <c r="F386" s="76" t="s">
        <v>191</v>
      </c>
      <c r="G386" s="72" t="s">
        <v>39</v>
      </c>
      <c r="H386" s="34">
        <v>2</v>
      </c>
      <c r="I386" s="71" t="s">
        <v>359</v>
      </c>
      <c r="J386" s="32">
        <v>2</v>
      </c>
      <c r="K386" s="33">
        <f>VLOOKUP(E386,照明設備稼働時間!$A$4:$F$72,5,FALSE)</f>
        <v>2781</v>
      </c>
      <c r="L386" s="33" t="str">
        <f t="shared" si="10"/>
        <v>FL40SW ＋PIL100V40WS35E172埋込W300</v>
      </c>
      <c r="M386" s="33">
        <f>VLOOKUP(L386,照明器具一覧!$B$4:$F$155,5,FALSE)</f>
        <v>94</v>
      </c>
      <c r="N386" s="7">
        <v>1</v>
      </c>
      <c r="O386" s="82">
        <f t="shared" si="11"/>
        <v>522.82799999999997</v>
      </c>
    </row>
    <row r="387" spans="1:15">
      <c r="A387" s="7" t="s">
        <v>928</v>
      </c>
      <c r="B387" s="6" t="s">
        <v>532</v>
      </c>
      <c r="C387" s="74" t="s">
        <v>72</v>
      </c>
      <c r="D387" s="75" t="s">
        <v>10</v>
      </c>
      <c r="E387" s="7" t="s">
        <v>325</v>
      </c>
      <c r="F387" s="76" t="s">
        <v>140</v>
      </c>
      <c r="G387" s="72" t="s">
        <v>114</v>
      </c>
      <c r="H387" s="34">
        <v>1</v>
      </c>
      <c r="I387" s="71" t="s">
        <v>392</v>
      </c>
      <c r="J387" s="32">
        <v>4</v>
      </c>
      <c r="K387" s="33">
        <f>VLOOKUP(E387,照明設備稼働時間!$A$4:$F$72,5,FALSE)</f>
        <v>0</v>
      </c>
      <c r="L387" s="33" t="str">
        <f t="shared" si="10"/>
        <v>HF70 1ダウンライト　φ200</v>
      </c>
      <c r="M387" s="33">
        <f>VLOOKUP(L387,照明器具一覧!$B$4:$F$155,5,FALSE)</f>
        <v>77</v>
      </c>
      <c r="N387" s="7">
        <v>1</v>
      </c>
      <c r="O387" s="82">
        <f t="shared" si="11"/>
        <v>0</v>
      </c>
    </row>
    <row r="388" spans="1:15">
      <c r="A388" s="7" t="s">
        <v>929</v>
      </c>
      <c r="B388" s="6" t="s">
        <v>532</v>
      </c>
      <c r="C388" s="74" t="s">
        <v>192</v>
      </c>
      <c r="D388" s="75" t="s">
        <v>10</v>
      </c>
      <c r="E388" s="7" t="s">
        <v>1075</v>
      </c>
      <c r="F388" s="76" t="s">
        <v>94</v>
      </c>
      <c r="G388" s="72" t="s">
        <v>193</v>
      </c>
      <c r="H388" s="34">
        <v>2</v>
      </c>
      <c r="I388" s="71" t="s">
        <v>359</v>
      </c>
      <c r="J388" s="32">
        <v>8</v>
      </c>
      <c r="K388" s="33">
        <f>VLOOKUP(E388,照明設備稼働時間!$A$4:$F$72,5,FALSE)</f>
        <v>1236</v>
      </c>
      <c r="L388" s="33" t="str">
        <f t="shared" ref="L388:L451" si="12">G388&amp;H388&amp;I388</f>
        <v>FLR110W2埋込W300</v>
      </c>
      <c r="M388" s="33">
        <f>VLOOKUP(L388,照明器具一覧!$B$4:$F$155,5,FALSE)</f>
        <v>225</v>
      </c>
      <c r="N388" s="7">
        <v>1</v>
      </c>
      <c r="O388" s="82">
        <f t="shared" ref="O388:O451" si="13">(J388*K388*M388*N388)/1000</f>
        <v>2224.8000000000002</v>
      </c>
    </row>
    <row r="389" spans="1:15">
      <c r="A389" s="7" t="s">
        <v>930</v>
      </c>
      <c r="B389" s="6" t="s">
        <v>532</v>
      </c>
      <c r="C389" s="74" t="s">
        <v>27</v>
      </c>
      <c r="D389" s="75" t="s">
        <v>10</v>
      </c>
      <c r="E389" s="7" t="s">
        <v>1075</v>
      </c>
      <c r="F389" s="76" t="s">
        <v>94</v>
      </c>
      <c r="G389" s="72" t="s">
        <v>41</v>
      </c>
      <c r="H389" s="34">
        <v>2</v>
      </c>
      <c r="I389" s="71" t="s">
        <v>360</v>
      </c>
      <c r="J389" s="32">
        <v>6</v>
      </c>
      <c r="K389" s="33">
        <f>VLOOKUP(E389,照明設備稼働時間!$A$4:$F$72,5,FALSE)</f>
        <v>1236</v>
      </c>
      <c r="L389" s="33" t="str">
        <f t="shared" si="12"/>
        <v>FPL28EXN 2埋込　スクエア□350</v>
      </c>
      <c r="M389" s="33">
        <f>VLOOKUP(L389,照明器具一覧!$B$4:$F$155,5,FALSE)</f>
        <v>33</v>
      </c>
      <c r="N389" s="7">
        <v>1</v>
      </c>
      <c r="O389" s="82">
        <f t="shared" si="13"/>
        <v>244.72800000000001</v>
      </c>
    </row>
    <row r="390" spans="1:15">
      <c r="A390" s="7" t="s">
        <v>931</v>
      </c>
      <c r="B390" s="6" t="s">
        <v>532</v>
      </c>
      <c r="C390" s="74"/>
      <c r="D390" s="75" t="s">
        <v>10</v>
      </c>
      <c r="E390" s="7" t="s">
        <v>1099</v>
      </c>
      <c r="F390" s="76" t="s">
        <v>77</v>
      </c>
      <c r="G390" s="72" t="s">
        <v>194</v>
      </c>
      <c r="H390" s="34">
        <v>1</v>
      </c>
      <c r="I390" s="71" t="s">
        <v>412</v>
      </c>
      <c r="J390" s="32">
        <v>1</v>
      </c>
      <c r="K390" s="33">
        <f>VLOOKUP(E390,照明設備稼働時間!$A$4:$F$72,5,FALSE)</f>
        <v>1854</v>
      </c>
      <c r="L390" s="33" t="str">
        <f t="shared" si="12"/>
        <v>FL15W1ミラー灯</v>
      </c>
      <c r="M390" s="33">
        <f>VLOOKUP(L390,照明器具一覧!$B$4:$F$155,5,FALSE)</f>
        <v>15</v>
      </c>
      <c r="N390" s="7">
        <v>1</v>
      </c>
      <c r="O390" s="82">
        <f t="shared" si="13"/>
        <v>27.81</v>
      </c>
    </row>
    <row r="391" spans="1:15">
      <c r="A391" s="7" t="s">
        <v>932</v>
      </c>
      <c r="B391" s="6" t="s">
        <v>532</v>
      </c>
      <c r="C391" s="74" t="s">
        <v>68</v>
      </c>
      <c r="D391" s="75" t="s">
        <v>10</v>
      </c>
      <c r="E391" s="7" t="s">
        <v>1099</v>
      </c>
      <c r="F391" s="76" t="s">
        <v>77</v>
      </c>
      <c r="G391" s="72" t="s">
        <v>39</v>
      </c>
      <c r="H391" s="34">
        <v>2</v>
      </c>
      <c r="I391" s="71" t="s">
        <v>393</v>
      </c>
      <c r="J391" s="32">
        <v>1</v>
      </c>
      <c r="K391" s="33">
        <f>VLOOKUP(E391,照明設備稼働時間!$A$4:$F$72,5,FALSE)</f>
        <v>1854</v>
      </c>
      <c r="L391" s="33" t="str">
        <f t="shared" si="12"/>
        <v>FL40SW ＋PIL100V40WS35E172埋込W300　非常照明　電源別置</v>
      </c>
      <c r="M391" s="33">
        <f>VLOOKUP(L391,照明器具一覧!$B$4:$F$155,5,FALSE)</f>
        <v>94</v>
      </c>
      <c r="N391" s="7">
        <v>1</v>
      </c>
      <c r="O391" s="82">
        <f t="shared" si="13"/>
        <v>174.27600000000001</v>
      </c>
    </row>
    <row r="392" spans="1:15">
      <c r="A392" s="7" t="s">
        <v>933</v>
      </c>
      <c r="B392" s="6" t="s">
        <v>532</v>
      </c>
      <c r="C392" s="74" t="s">
        <v>27</v>
      </c>
      <c r="D392" s="75" t="s">
        <v>10</v>
      </c>
      <c r="E392" s="7" t="s">
        <v>509</v>
      </c>
      <c r="F392" s="76" t="s">
        <v>36</v>
      </c>
      <c r="G392" s="72" t="s">
        <v>41</v>
      </c>
      <c r="H392" s="34">
        <v>2</v>
      </c>
      <c r="I392" s="71" t="s">
        <v>360</v>
      </c>
      <c r="J392" s="32">
        <v>4</v>
      </c>
      <c r="K392" s="33">
        <f>VLOOKUP(E392,照明設備稼働時間!$A$4:$F$72,5,FALSE)</f>
        <v>4172</v>
      </c>
      <c r="L392" s="33" t="str">
        <f t="shared" si="12"/>
        <v>FPL28EXN 2埋込　スクエア□350</v>
      </c>
      <c r="M392" s="33">
        <f>VLOOKUP(L392,照明器具一覧!$B$4:$F$155,5,FALSE)</f>
        <v>33</v>
      </c>
      <c r="N392" s="7">
        <v>0.5</v>
      </c>
      <c r="O392" s="82">
        <f t="shared" si="13"/>
        <v>275.35199999999998</v>
      </c>
    </row>
    <row r="393" spans="1:15">
      <c r="A393" s="7" t="s">
        <v>934</v>
      </c>
      <c r="B393" s="6" t="s">
        <v>533</v>
      </c>
      <c r="C393" s="74" t="s">
        <v>28</v>
      </c>
      <c r="D393" s="75" t="s">
        <v>10</v>
      </c>
      <c r="E393" s="7" t="s">
        <v>509</v>
      </c>
      <c r="F393" s="76" t="s">
        <v>37</v>
      </c>
      <c r="G393" s="72" t="s">
        <v>328</v>
      </c>
      <c r="H393" s="34">
        <v>1</v>
      </c>
      <c r="I393" s="71" t="s">
        <v>318</v>
      </c>
      <c r="J393" s="32">
        <v>1</v>
      </c>
      <c r="K393" s="33">
        <f>VLOOKUP(E393,照明設備稼働時間!$A$4:$F$72,5,FALSE)</f>
        <v>4172</v>
      </c>
      <c r="L393" s="33" t="str">
        <f t="shared" si="12"/>
        <v>LED1直付　非常照明付　電池内蔵</v>
      </c>
      <c r="M393" s="33">
        <f>VLOOKUP(L393,照明器具一覧!$B$4:$F$155,5,FALSE)</f>
        <v>20</v>
      </c>
      <c r="N393" s="7">
        <v>1</v>
      </c>
      <c r="O393" s="82">
        <f t="shared" si="13"/>
        <v>83.44</v>
      </c>
    </row>
    <row r="394" spans="1:15">
      <c r="A394" s="7" t="s">
        <v>935</v>
      </c>
      <c r="B394" s="6" t="s">
        <v>532</v>
      </c>
      <c r="C394" s="74" t="s">
        <v>53</v>
      </c>
      <c r="D394" s="75" t="s">
        <v>10</v>
      </c>
      <c r="E394" s="7" t="s">
        <v>516</v>
      </c>
      <c r="F394" s="76" t="s">
        <v>269</v>
      </c>
      <c r="G394" s="72" t="s">
        <v>147</v>
      </c>
      <c r="H394" s="34">
        <v>1</v>
      </c>
      <c r="I394" s="71" t="s">
        <v>395</v>
      </c>
      <c r="J394" s="32">
        <v>1</v>
      </c>
      <c r="K394" s="33">
        <f>VLOOKUP(E394,照明設備稼働時間!$A$4:$F$72,5,FALSE)</f>
        <v>0</v>
      </c>
      <c r="L394" s="33" t="str">
        <f t="shared" si="12"/>
        <v>IL40W1直付白熱灯</v>
      </c>
      <c r="M394" s="33">
        <f>VLOOKUP(L394,照明器具一覧!$B$4:$F$155,5,FALSE)</f>
        <v>40</v>
      </c>
      <c r="N394" s="7">
        <v>1</v>
      </c>
      <c r="O394" s="82">
        <f t="shared" si="13"/>
        <v>0</v>
      </c>
    </row>
    <row r="395" spans="1:15">
      <c r="A395" s="7" t="s">
        <v>936</v>
      </c>
      <c r="B395" s="6" t="s">
        <v>532</v>
      </c>
      <c r="C395" s="74" t="s">
        <v>54</v>
      </c>
      <c r="D395" s="75" t="s">
        <v>10</v>
      </c>
      <c r="E395" s="7" t="s">
        <v>516</v>
      </c>
      <c r="F395" s="76" t="s">
        <v>343</v>
      </c>
      <c r="G395" s="72" t="s">
        <v>40</v>
      </c>
      <c r="H395" s="34">
        <v>1</v>
      </c>
      <c r="I395" s="71" t="s">
        <v>373</v>
      </c>
      <c r="J395" s="32">
        <v>1</v>
      </c>
      <c r="K395" s="33">
        <f>VLOOKUP(E395,照明設備稼働時間!$A$4:$F$72,5,FALSE)</f>
        <v>0</v>
      </c>
      <c r="L395" s="33" t="str">
        <f t="shared" si="12"/>
        <v>FL20W1片反射</v>
      </c>
      <c r="M395" s="33">
        <f>VLOOKUP(L395,照明器具一覧!$B$4:$F$155,5,FALSE)</f>
        <v>22</v>
      </c>
      <c r="N395" s="7">
        <v>1</v>
      </c>
      <c r="O395" s="82">
        <f t="shared" si="13"/>
        <v>0</v>
      </c>
    </row>
    <row r="396" spans="1:15">
      <c r="A396" s="7" t="s">
        <v>937</v>
      </c>
      <c r="B396" s="6" t="s">
        <v>532</v>
      </c>
      <c r="C396" s="74" t="s">
        <v>152</v>
      </c>
      <c r="D396" s="75" t="s">
        <v>10</v>
      </c>
      <c r="E396" s="7" t="s">
        <v>509</v>
      </c>
      <c r="F396" s="76" t="s">
        <v>173</v>
      </c>
      <c r="G396" s="72" t="s">
        <v>104</v>
      </c>
      <c r="H396" s="34">
        <v>1</v>
      </c>
      <c r="I396" s="71" t="s">
        <v>367</v>
      </c>
      <c r="J396" s="32">
        <v>1</v>
      </c>
      <c r="K396" s="33">
        <f>VLOOKUP(E396,照明設備稼働時間!$A$4:$F$72,5,FALSE)</f>
        <v>4172</v>
      </c>
      <c r="L396" s="33" t="str">
        <f t="shared" si="12"/>
        <v>FDL18EX-N1ダウンライト　φ150</v>
      </c>
      <c r="M396" s="33">
        <f>VLOOKUP(L396,照明器具一覧!$B$4:$F$155,5,FALSE)</f>
        <v>22</v>
      </c>
      <c r="N396" s="7">
        <v>1</v>
      </c>
      <c r="O396" s="82">
        <f t="shared" si="13"/>
        <v>91.784000000000006</v>
      </c>
    </row>
    <row r="397" spans="1:15">
      <c r="A397" s="7" t="s">
        <v>938</v>
      </c>
      <c r="B397" s="6" t="s">
        <v>532</v>
      </c>
      <c r="C397" s="74" t="s">
        <v>119</v>
      </c>
      <c r="D397" s="75" t="s">
        <v>10</v>
      </c>
      <c r="E397" s="7" t="s">
        <v>509</v>
      </c>
      <c r="F397" s="76" t="s">
        <v>173</v>
      </c>
      <c r="G397" s="72" t="s">
        <v>145</v>
      </c>
      <c r="H397" s="34">
        <v>3</v>
      </c>
      <c r="I397" s="71" t="s">
        <v>397</v>
      </c>
      <c r="J397" s="32">
        <v>3</v>
      </c>
      <c r="K397" s="33">
        <f>VLOOKUP(E397,照明設備稼働時間!$A$4:$F$72,5,FALSE)</f>
        <v>4172</v>
      </c>
      <c r="L397" s="33" t="str">
        <f t="shared" si="12"/>
        <v>FPL36EX-N/23埋込　スクエア□450</v>
      </c>
      <c r="M397" s="33">
        <f>VLOOKUP(L397,照明器具一覧!$B$4:$F$155,5,FALSE)</f>
        <v>136</v>
      </c>
      <c r="N397" s="7">
        <v>0.33</v>
      </c>
      <c r="O397" s="82">
        <f t="shared" si="13"/>
        <v>561.7180800000001</v>
      </c>
    </row>
    <row r="398" spans="1:15">
      <c r="A398" s="7" t="s">
        <v>939</v>
      </c>
      <c r="B398" s="6" t="s">
        <v>532</v>
      </c>
      <c r="C398" s="74" t="s">
        <v>254</v>
      </c>
      <c r="D398" s="75" t="s">
        <v>10</v>
      </c>
      <c r="E398" s="7" t="s">
        <v>9</v>
      </c>
      <c r="F398" s="76" t="s">
        <v>253</v>
      </c>
      <c r="G398" s="72" t="s">
        <v>40</v>
      </c>
      <c r="H398" s="34">
        <v>1</v>
      </c>
      <c r="I398" s="71" t="s">
        <v>320</v>
      </c>
      <c r="J398" s="32">
        <v>1</v>
      </c>
      <c r="K398" s="33">
        <f>VLOOKUP(E398,照明設備稼働時間!$A$4:$F$72,5,FALSE)</f>
        <v>8760</v>
      </c>
      <c r="L398" s="33" t="str">
        <f t="shared" si="12"/>
        <v>FL20W1避難口誘導灯</v>
      </c>
      <c r="M398" s="33">
        <f>VLOOKUP(L398,照明器具一覧!$B$4:$F$155,5,FALSE)</f>
        <v>22</v>
      </c>
      <c r="N398" s="7">
        <v>1</v>
      </c>
      <c r="O398" s="82">
        <f t="shared" si="13"/>
        <v>192.72</v>
      </c>
    </row>
    <row r="399" spans="1:15">
      <c r="A399" s="7" t="s">
        <v>940</v>
      </c>
      <c r="B399" s="6" t="s">
        <v>532</v>
      </c>
      <c r="C399" s="74" t="s">
        <v>262</v>
      </c>
      <c r="D399" s="75" t="s">
        <v>10</v>
      </c>
      <c r="E399" s="7" t="s">
        <v>9</v>
      </c>
      <c r="F399" s="76" t="s">
        <v>255</v>
      </c>
      <c r="G399" s="72" t="s">
        <v>249</v>
      </c>
      <c r="H399" s="34">
        <v>1</v>
      </c>
      <c r="I399" s="71" t="s">
        <v>322</v>
      </c>
      <c r="J399" s="32">
        <v>1</v>
      </c>
      <c r="K399" s="33">
        <f>VLOOKUP(E399,照明設備稼働時間!$A$4:$F$72,5,FALSE)</f>
        <v>8760</v>
      </c>
      <c r="L399" s="33" t="str">
        <f t="shared" si="12"/>
        <v>FL10W1通路誘導灯</v>
      </c>
      <c r="M399" s="33">
        <f>VLOOKUP(L399,照明器具一覧!$B$4:$F$155,5,FALSE)</f>
        <v>12</v>
      </c>
      <c r="N399" s="7">
        <v>1</v>
      </c>
      <c r="O399" s="82">
        <f t="shared" si="13"/>
        <v>105.12</v>
      </c>
    </row>
    <row r="400" spans="1:15">
      <c r="A400" s="7" t="s">
        <v>941</v>
      </c>
      <c r="B400" s="6" t="s">
        <v>532</v>
      </c>
      <c r="C400" s="74" t="s">
        <v>243</v>
      </c>
      <c r="D400" s="75" t="s">
        <v>10</v>
      </c>
      <c r="E400" s="7" t="s">
        <v>9</v>
      </c>
      <c r="F400" s="76" t="s">
        <v>255</v>
      </c>
      <c r="G400" s="72" t="s">
        <v>40</v>
      </c>
      <c r="H400" s="34">
        <v>1</v>
      </c>
      <c r="I400" s="71" t="s">
        <v>322</v>
      </c>
      <c r="J400" s="32">
        <v>1</v>
      </c>
      <c r="K400" s="33">
        <f>VLOOKUP(E400,照明設備稼働時間!$A$4:$F$72,5,FALSE)</f>
        <v>8760</v>
      </c>
      <c r="L400" s="33" t="str">
        <f t="shared" si="12"/>
        <v>FL20W1通路誘導灯</v>
      </c>
      <c r="M400" s="33">
        <f>VLOOKUP(L400,照明器具一覧!$B$4:$F$155,5,FALSE)</f>
        <v>22</v>
      </c>
      <c r="N400" s="7">
        <v>1</v>
      </c>
      <c r="O400" s="82">
        <f t="shared" si="13"/>
        <v>192.72</v>
      </c>
    </row>
    <row r="401" spans="1:15">
      <c r="A401" s="7" t="s">
        <v>942</v>
      </c>
      <c r="B401" s="6" t="s">
        <v>532</v>
      </c>
      <c r="C401" s="74" t="s">
        <v>263</v>
      </c>
      <c r="D401" s="75" t="s">
        <v>10</v>
      </c>
      <c r="E401" s="7" t="s">
        <v>9</v>
      </c>
      <c r="F401" s="76" t="s">
        <v>256</v>
      </c>
      <c r="G401" s="72" t="s">
        <v>346</v>
      </c>
      <c r="H401" s="34">
        <v>1</v>
      </c>
      <c r="I401" s="71" t="s">
        <v>347</v>
      </c>
      <c r="J401" s="32">
        <v>1</v>
      </c>
      <c r="K401" s="33">
        <f>VLOOKUP(E401,照明設備稼働時間!$A$4:$F$72,5,FALSE)</f>
        <v>8760</v>
      </c>
      <c r="L401" s="33" t="str">
        <f t="shared" si="12"/>
        <v>CF3W1避難口誘導灯　音声＋点滅</v>
      </c>
      <c r="M401" s="33">
        <f>VLOOKUP(L401,照明器具一覧!$B$4:$F$155,5,FALSE)</f>
        <v>8.5</v>
      </c>
      <c r="N401" s="7">
        <v>1</v>
      </c>
      <c r="O401" s="82">
        <f t="shared" si="13"/>
        <v>74.459999999999994</v>
      </c>
    </row>
    <row r="402" spans="1:15">
      <c r="A402" s="7" t="s">
        <v>943</v>
      </c>
      <c r="B402" s="6" t="s">
        <v>532</v>
      </c>
      <c r="C402" s="74" t="s">
        <v>254</v>
      </c>
      <c r="D402" s="75" t="s">
        <v>10</v>
      </c>
      <c r="E402" s="7" t="s">
        <v>9</v>
      </c>
      <c r="F402" s="76" t="s">
        <v>257</v>
      </c>
      <c r="G402" s="72" t="s">
        <v>40</v>
      </c>
      <c r="H402" s="34">
        <v>1</v>
      </c>
      <c r="I402" s="71" t="s">
        <v>320</v>
      </c>
      <c r="J402" s="32">
        <v>1</v>
      </c>
      <c r="K402" s="33">
        <f>VLOOKUP(E402,照明設備稼働時間!$A$4:$F$72,5,FALSE)</f>
        <v>8760</v>
      </c>
      <c r="L402" s="33" t="str">
        <f t="shared" si="12"/>
        <v>FL20W1避難口誘導灯</v>
      </c>
      <c r="M402" s="33">
        <f>VLOOKUP(L402,照明器具一覧!$B$4:$F$155,5,FALSE)</f>
        <v>22</v>
      </c>
      <c r="N402" s="7">
        <v>1</v>
      </c>
      <c r="O402" s="82">
        <f t="shared" si="13"/>
        <v>192.72</v>
      </c>
    </row>
    <row r="403" spans="1:15">
      <c r="A403" s="7" t="s">
        <v>944</v>
      </c>
      <c r="B403" s="6" t="s">
        <v>532</v>
      </c>
      <c r="C403" s="74" t="s">
        <v>243</v>
      </c>
      <c r="D403" s="75" t="s">
        <v>10</v>
      </c>
      <c r="E403" s="7" t="s">
        <v>9</v>
      </c>
      <c r="F403" s="76" t="s">
        <v>244</v>
      </c>
      <c r="G403" s="72" t="s">
        <v>40</v>
      </c>
      <c r="H403" s="34">
        <v>1</v>
      </c>
      <c r="I403" s="71" t="s">
        <v>322</v>
      </c>
      <c r="J403" s="32">
        <v>1</v>
      </c>
      <c r="K403" s="33">
        <f>VLOOKUP(E403,照明設備稼働時間!$A$4:$F$72,5,FALSE)</f>
        <v>8760</v>
      </c>
      <c r="L403" s="33" t="str">
        <f t="shared" si="12"/>
        <v>FL20W1通路誘導灯</v>
      </c>
      <c r="M403" s="33">
        <f>VLOOKUP(L403,照明器具一覧!$B$4:$F$155,5,FALSE)</f>
        <v>22</v>
      </c>
      <c r="N403" s="7">
        <v>1</v>
      </c>
      <c r="O403" s="82">
        <f t="shared" si="13"/>
        <v>192.72</v>
      </c>
    </row>
    <row r="404" spans="1:15">
      <c r="A404" s="7" t="s">
        <v>945</v>
      </c>
      <c r="B404" s="6" t="s">
        <v>532</v>
      </c>
      <c r="C404" s="74" t="s">
        <v>254</v>
      </c>
      <c r="D404" s="75" t="s">
        <v>10</v>
      </c>
      <c r="E404" s="7" t="s">
        <v>9</v>
      </c>
      <c r="F404" s="76" t="s">
        <v>258</v>
      </c>
      <c r="G404" s="72" t="s">
        <v>40</v>
      </c>
      <c r="H404" s="34">
        <v>1</v>
      </c>
      <c r="I404" s="71" t="s">
        <v>320</v>
      </c>
      <c r="J404" s="32">
        <v>1</v>
      </c>
      <c r="K404" s="33">
        <f>VLOOKUP(E404,照明設備稼働時間!$A$4:$F$72,5,FALSE)</f>
        <v>8760</v>
      </c>
      <c r="L404" s="33" t="str">
        <f t="shared" si="12"/>
        <v>FL20W1避難口誘導灯</v>
      </c>
      <c r="M404" s="33">
        <f>VLOOKUP(L404,照明器具一覧!$B$4:$F$155,5,FALSE)</f>
        <v>22</v>
      </c>
      <c r="N404" s="7">
        <v>1</v>
      </c>
      <c r="O404" s="82">
        <f t="shared" si="13"/>
        <v>192.72</v>
      </c>
    </row>
    <row r="405" spans="1:15">
      <c r="A405" s="7" t="s">
        <v>946</v>
      </c>
      <c r="B405" s="6" t="s">
        <v>532</v>
      </c>
      <c r="C405" s="74" t="s">
        <v>254</v>
      </c>
      <c r="D405" s="75" t="s">
        <v>10</v>
      </c>
      <c r="E405" s="7" t="s">
        <v>9</v>
      </c>
      <c r="F405" s="76" t="s">
        <v>259</v>
      </c>
      <c r="G405" s="72" t="s">
        <v>40</v>
      </c>
      <c r="H405" s="34">
        <v>1</v>
      </c>
      <c r="I405" s="71" t="s">
        <v>320</v>
      </c>
      <c r="J405" s="32">
        <v>1</v>
      </c>
      <c r="K405" s="33">
        <f>VLOOKUP(E405,照明設備稼働時間!$A$4:$F$72,5,FALSE)</f>
        <v>8760</v>
      </c>
      <c r="L405" s="33" t="str">
        <f t="shared" si="12"/>
        <v>FL20W1避難口誘導灯</v>
      </c>
      <c r="M405" s="33">
        <f>VLOOKUP(L405,照明器具一覧!$B$4:$F$155,5,FALSE)</f>
        <v>22</v>
      </c>
      <c r="N405" s="7">
        <v>1</v>
      </c>
      <c r="O405" s="82">
        <f t="shared" si="13"/>
        <v>192.72</v>
      </c>
    </row>
    <row r="406" spans="1:15">
      <c r="A406" s="7" t="s">
        <v>947</v>
      </c>
      <c r="B406" s="6" t="s">
        <v>532</v>
      </c>
      <c r="C406" s="74" t="s">
        <v>262</v>
      </c>
      <c r="D406" s="75" t="s">
        <v>10</v>
      </c>
      <c r="E406" s="7" t="s">
        <v>9</v>
      </c>
      <c r="F406" s="76" t="s">
        <v>244</v>
      </c>
      <c r="G406" s="72" t="s">
        <v>249</v>
      </c>
      <c r="H406" s="34">
        <v>1</v>
      </c>
      <c r="I406" s="71" t="s">
        <v>322</v>
      </c>
      <c r="J406" s="32">
        <v>1</v>
      </c>
      <c r="K406" s="33">
        <f>VLOOKUP(E406,照明設備稼働時間!$A$4:$F$72,5,FALSE)</f>
        <v>8760</v>
      </c>
      <c r="L406" s="33" t="str">
        <f t="shared" si="12"/>
        <v>FL10W1通路誘導灯</v>
      </c>
      <c r="M406" s="33">
        <f>VLOOKUP(L406,照明器具一覧!$B$4:$F$155,5,FALSE)</f>
        <v>12</v>
      </c>
      <c r="N406" s="7">
        <v>1</v>
      </c>
      <c r="O406" s="82">
        <f t="shared" si="13"/>
        <v>105.12</v>
      </c>
    </row>
    <row r="407" spans="1:15">
      <c r="A407" s="7" t="s">
        <v>948</v>
      </c>
      <c r="B407" s="6" t="s">
        <v>532</v>
      </c>
      <c r="C407" s="74" t="s">
        <v>254</v>
      </c>
      <c r="D407" s="75" t="s">
        <v>10</v>
      </c>
      <c r="E407" s="7" t="s">
        <v>9</v>
      </c>
      <c r="F407" s="76" t="s">
        <v>260</v>
      </c>
      <c r="G407" s="72" t="s">
        <v>40</v>
      </c>
      <c r="H407" s="34">
        <v>1</v>
      </c>
      <c r="I407" s="71" t="s">
        <v>320</v>
      </c>
      <c r="J407" s="32">
        <v>1</v>
      </c>
      <c r="K407" s="33">
        <f>VLOOKUP(E407,照明設備稼働時間!$A$4:$F$72,5,FALSE)</f>
        <v>8760</v>
      </c>
      <c r="L407" s="33" t="str">
        <f t="shared" si="12"/>
        <v>FL20W1避難口誘導灯</v>
      </c>
      <c r="M407" s="33">
        <f>VLOOKUP(L407,照明器具一覧!$B$4:$F$155,5,FALSE)</f>
        <v>22</v>
      </c>
      <c r="N407" s="7">
        <v>1</v>
      </c>
      <c r="O407" s="82">
        <f t="shared" si="13"/>
        <v>192.72</v>
      </c>
    </row>
    <row r="408" spans="1:15">
      <c r="A408" s="7" t="s">
        <v>949</v>
      </c>
      <c r="B408" s="6" t="s">
        <v>532</v>
      </c>
      <c r="C408" s="74" t="s">
        <v>254</v>
      </c>
      <c r="D408" s="75" t="s">
        <v>10</v>
      </c>
      <c r="E408" s="7" t="s">
        <v>9</v>
      </c>
      <c r="F408" s="76" t="s">
        <v>261</v>
      </c>
      <c r="G408" s="72" t="s">
        <v>40</v>
      </c>
      <c r="H408" s="34">
        <v>1</v>
      </c>
      <c r="I408" s="71" t="s">
        <v>320</v>
      </c>
      <c r="J408" s="32">
        <v>1</v>
      </c>
      <c r="K408" s="33">
        <f>VLOOKUP(E408,照明設備稼働時間!$A$4:$F$72,5,FALSE)</f>
        <v>8760</v>
      </c>
      <c r="L408" s="33" t="str">
        <f t="shared" si="12"/>
        <v>FL20W1避難口誘導灯</v>
      </c>
      <c r="M408" s="33">
        <f>VLOOKUP(L408,照明器具一覧!$B$4:$F$155,5,FALSE)</f>
        <v>22</v>
      </c>
      <c r="N408" s="7">
        <v>1</v>
      </c>
      <c r="O408" s="82">
        <f t="shared" si="13"/>
        <v>192.72</v>
      </c>
    </row>
    <row r="409" spans="1:15">
      <c r="A409" s="7" t="s">
        <v>950</v>
      </c>
      <c r="B409" s="6" t="s">
        <v>532</v>
      </c>
      <c r="C409" s="74" t="s">
        <v>243</v>
      </c>
      <c r="D409" s="75" t="s">
        <v>10</v>
      </c>
      <c r="E409" s="7" t="s">
        <v>9</v>
      </c>
      <c r="F409" s="76" t="s">
        <v>244</v>
      </c>
      <c r="G409" s="72" t="s">
        <v>40</v>
      </c>
      <c r="H409" s="34">
        <v>1</v>
      </c>
      <c r="I409" s="71" t="s">
        <v>322</v>
      </c>
      <c r="J409" s="32">
        <v>1</v>
      </c>
      <c r="K409" s="33">
        <f>VLOOKUP(E409,照明設備稼働時間!$A$4:$F$72,5,FALSE)</f>
        <v>8760</v>
      </c>
      <c r="L409" s="33" t="str">
        <f t="shared" si="12"/>
        <v>FL20W1通路誘導灯</v>
      </c>
      <c r="M409" s="33">
        <f>VLOOKUP(L409,照明器具一覧!$B$4:$F$155,5,FALSE)</f>
        <v>22</v>
      </c>
      <c r="N409" s="7">
        <v>1</v>
      </c>
      <c r="O409" s="82">
        <f t="shared" si="13"/>
        <v>192.72</v>
      </c>
    </row>
    <row r="410" spans="1:15">
      <c r="A410" s="7" t="s">
        <v>951</v>
      </c>
      <c r="B410" s="6" t="s">
        <v>532</v>
      </c>
      <c r="C410" s="74" t="s">
        <v>248</v>
      </c>
      <c r="D410" s="75" t="s">
        <v>10</v>
      </c>
      <c r="E410" s="7" t="s">
        <v>9</v>
      </c>
      <c r="F410" s="76" t="s">
        <v>246</v>
      </c>
      <c r="G410" s="72" t="s">
        <v>249</v>
      </c>
      <c r="H410" s="34">
        <v>1</v>
      </c>
      <c r="I410" s="71" t="s">
        <v>348</v>
      </c>
      <c r="J410" s="32">
        <v>1</v>
      </c>
      <c r="K410" s="33">
        <f>VLOOKUP(E410,照明設備稼働時間!$A$4:$F$72,5,FALSE)</f>
        <v>8760</v>
      </c>
      <c r="L410" s="33" t="str">
        <f t="shared" si="12"/>
        <v>FL10W1避難表示灯</v>
      </c>
      <c r="M410" s="33">
        <f>VLOOKUP(L410,照明器具一覧!$B$4:$F$155,5,FALSE)</f>
        <v>11</v>
      </c>
      <c r="N410" s="7">
        <v>1</v>
      </c>
      <c r="O410" s="82">
        <f t="shared" si="13"/>
        <v>96.36</v>
      </c>
    </row>
    <row r="411" spans="1:15">
      <c r="A411" s="7" t="s">
        <v>952</v>
      </c>
      <c r="B411" s="6" t="s">
        <v>532</v>
      </c>
      <c r="C411" s="74" t="s">
        <v>247</v>
      </c>
      <c r="D411" s="75" t="s">
        <v>10</v>
      </c>
      <c r="E411" s="7" t="s">
        <v>9</v>
      </c>
      <c r="F411" s="76" t="s">
        <v>245</v>
      </c>
      <c r="G411" s="72" t="s">
        <v>264</v>
      </c>
      <c r="H411" s="34">
        <v>2</v>
      </c>
      <c r="I411" s="71" t="s">
        <v>347</v>
      </c>
      <c r="J411" s="32">
        <v>1</v>
      </c>
      <c r="K411" s="33">
        <f>VLOOKUP(E411,照明設備稼働時間!$A$4:$F$72,5,FALSE)</f>
        <v>8760</v>
      </c>
      <c r="L411" s="33" t="str">
        <f t="shared" si="12"/>
        <v>FL40W2避難口誘導灯　音声＋点滅</v>
      </c>
      <c r="M411" s="33">
        <f>VLOOKUP(L411,照明器具一覧!$B$4:$F$155,5,FALSE)</f>
        <v>94</v>
      </c>
      <c r="N411" s="7">
        <v>1</v>
      </c>
      <c r="O411" s="82">
        <f t="shared" si="13"/>
        <v>823.44</v>
      </c>
    </row>
    <row r="412" spans="1:15">
      <c r="A412" s="7" t="s">
        <v>953</v>
      </c>
      <c r="B412" s="6" t="s">
        <v>532</v>
      </c>
      <c r="C412" s="74" t="s">
        <v>26</v>
      </c>
      <c r="D412" s="75" t="s">
        <v>10</v>
      </c>
      <c r="E412" s="7" t="s">
        <v>515</v>
      </c>
      <c r="F412" s="76" t="s">
        <v>178</v>
      </c>
      <c r="G412" s="72" t="s">
        <v>284</v>
      </c>
      <c r="H412" s="34">
        <v>1</v>
      </c>
      <c r="I412" s="71" t="s">
        <v>237</v>
      </c>
      <c r="J412" s="32">
        <v>3</v>
      </c>
      <c r="K412" s="33">
        <f>VLOOKUP(E412,照明設備稼働時間!$A$4:$F$72,5,FALSE)</f>
        <v>0</v>
      </c>
      <c r="L412" s="33" t="str">
        <f t="shared" si="12"/>
        <v>IL40W1非常灯　電源別置　φ100</v>
      </c>
      <c r="M412" s="33">
        <f>VLOOKUP(L412,照明器具一覧!$B$4:$F$155,5,FALSE)</f>
        <v>40</v>
      </c>
      <c r="N412" s="7">
        <v>1</v>
      </c>
      <c r="O412" s="82">
        <f t="shared" si="13"/>
        <v>0</v>
      </c>
    </row>
    <row r="413" spans="1:15">
      <c r="A413" s="7" t="s">
        <v>954</v>
      </c>
      <c r="B413" s="6" t="s">
        <v>532</v>
      </c>
      <c r="C413" s="74" t="s">
        <v>26</v>
      </c>
      <c r="D413" s="75" t="s">
        <v>10</v>
      </c>
      <c r="E413" s="7" t="s">
        <v>515</v>
      </c>
      <c r="F413" s="76" t="s">
        <v>181</v>
      </c>
      <c r="G413" s="72" t="s">
        <v>284</v>
      </c>
      <c r="H413" s="34">
        <v>1</v>
      </c>
      <c r="I413" s="71" t="s">
        <v>237</v>
      </c>
      <c r="J413" s="32">
        <v>4</v>
      </c>
      <c r="K413" s="33">
        <f>VLOOKUP(E413,照明設備稼働時間!$A$4:$F$72,5,FALSE)</f>
        <v>0</v>
      </c>
      <c r="L413" s="33" t="str">
        <f t="shared" si="12"/>
        <v>IL40W1非常灯　電源別置　φ100</v>
      </c>
      <c r="M413" s="33">
        <f>VLOOKUP(L413,照明器具一覧!$B$4:$F$155,5,FALSE)</f>
        <v>40</v>
      </c>
      <c r="N413" s="7">
        <v>1</v>
      </c>
      <c r="O413" s="82">
        <f t="shared" si="13"/>
        <v>0</v>
      </c>
    </row>
    <row r="414" spans="1:15">
      <c r="A414" s="7" t="s">
        <v>955</v>
      </c>
      <c r="B414" s="6" t="s">
        <v>532</v>
      </c>
      <c r="C414" s="74" t="s">
        <v>26</v>
      </c>
      <c r="D414" s="75" t="s">
        <v>10</v>
      </c>
      <c r="E414" s="7" t="s">
        <v>515</v>
      </c>
      <c r="F414" s="76" t="s">
        <v>181</v>
      </c>
      <c r="G414" s="72" t="s">
        <v>284</v>
      </c>
      <c r="H414" s="34">
        <v>1</v>
      </c>
      <c r="I414" s="71" t="s">
        <v>237</v>
      </c>
      <c r="J414" s="32">
        <v>4</v>
      </c>
      <c r="K414" s="33">
        <f>VLOOKUP(E414,照明設備稼働時間!$A$4:$F$72,5,FALSE)</f>
        <v>0</v>
      </c>
      <c r="L414" s="33" t="str">
        <f t="shared" si="12"/>
        <v>IL40W1非常灯　電源別置　φ100</v>
      </c>
      <c r="M414" s="33">
        <f>VLOOKUP(L414,照明器具一覧!$B$4:$F$155,5,FALSE)</f>
        <v>40</v>
      </c>
      <c r="N414" s="7">
        <v>1</v>
      </c>
      <c r="O414" s="82">
        <f t="shared" si="13"/>
        <v>0</v>
      </c>
    </row>
    <row r="415" spans="1:15">
      <c r="A415" s="7" t="s">
        <v>956</v>
      </c>
      <c r="B415" s="6" t="s">
        <v>532</v>
      </c>
      <c r="C415" s="74" t="s">
        <v>26</v>
      </c>
      <c r="D415" s="75" t="s">
        <v>10</v>
      </c>
      <c r="E415" s="7" t="s">
        <v>515</v>
      </c>
      <c r="F415" s="76" t="s">
        <v>265</v>
      </c>
      <c r="G415" s="72" t="s">
        <v>284</v>
      </c>
      <c r="H415" s="34">
        <v>1</v>
      </c>
      <c r="I415" s="71" t="s">
        <v>237</v>
      </c>
      <c r="J415" s="32">
        <v>1</v>
      </c>
      <c r="K415" s="33">
        <f>VLOOKUP(E415,照明設備稼働時間!$A$4:$F$72,5,FALSE)</f>
        <v>0</v>
      </c>
      <c r="L415" s="33" t="str">
        <f t="shared" si="12"/>
        <v>IL40W1非常灯　電源別置　φ100</v>
      </c>
      <c r="M415" s="33">
        <f>VLOOKUP(L415,照明器具一覧!$B$4:$F$155,5,FALSE)</f>
        <v>40</v>
      </c>
      <c r="N415" s="7">
        <v>1</v>
      </c>
      <c r="O415" s="82">
        <f t="shared" si="13"/>
        <v>0</v>
      </c>
    </row>
    <row r="416" spans="1:15">
      <c r="A416" s="7" t="s">
        <v>957</v>
      </c>
      <c r="B416" s="6" t="s">
        <v>532</v>
      </c>
      <c r="C416" s="74" t="s">
        <v>26</v>
      </c>
      <c r="D416" s="75" t="s">
        <v>10</v>
      </c>
      <c r="E416" s="7" t="s">
        <v>515</v>
      </c>
      <c r="F416" s="76" t="s">
        <v>186</v>
      </c>
      <c r="G416" s="72" t="s">
        <v>284</v>
      </c>
      <c r="H416" s="34">
        <v>1</v>
      </c>
      <c r="I416" s="71" t="s">
        <v>237</v>
      </c>
      <c r="J416" s="32">
        <v>4</v>
      </c>
      <c r="K416" s="33">
        <f>VLOOKUP(E416,照明設備稼働時間!$A$4:$F$72,5,FALSE)</f>
        <v>0</v>
      </c>
      <c r="L416" s="33" t="str">
        <f t="shared" si="12"/>
        <v>IL40W1非常灯　電源別置　φ100</v>
      </c>
      <c r="M416" s="33">
        <f>VLOOKUP(L416,照明器具一覧!$B$4:$F$155,5,FALSE)</f>
        <v>40</v>
      </c>
      <c r="N416" s="7">
        <v>1</v>
      </c>
      <c r="O416" s="82">
        <f t="shared" si="13"/>
        <v>0</v>
      </c>
    </row>
    <row r="417" spans="1:15">
      <c r="A417" s="7" t="s">
        <v>958</v>
      </c>
      <c r="B417" s="6" t="s">
        <v>532</v>
      </c>
      <c r="C417" s="74" t="s">
        <v>26</v>
      </c>
      <c r="D417" s="75" t="s">
        <v>10</v>
      </c>
      <c r="E417" s="7" t="s">
        <v>515</v>
      </c>
      <c r="F417" s="76" t="s">
        <v>136</v>
      </c>
      <c r="G417" s="72" t="s">
        <v>284</v>
      </c>
      <c r="H417" s="34">
        <v>1</v>
      </c>
      <c r="I417" s="71" t="s">
        <v>237</v>
      </c>
      <c r="J417" s="32">
        <v>1</v>
      </c>
      <c r="K417" s="33">
        <f>VLOOKUP(E417,照明設備稼働時間!$A$4:$F$72,5,FALSE)</f>
        <v>0</v>
      </c>
      <c r="L417" s="33" t="str">
        <f t="shared" si="12"/>
        <v>IL40W1非常灯　電源別置　φ100</v>
      </c>
      <c r="M417" s="33">
        <f>VLOOKUP(L417,照明器具一覧!$B$4:$F$155,5,FALSE)</f>
        <v>40</v>
      </c>
      <c r="N417" s="7">
        <v>1</v>
      </c>
      <c r="O417" s="82">
        <f t="shared" si="13"/>
        <v>0</v>
      </c>
    </row>
    <row r="418" spans="1:15">
      <c r="A418" s="7" t="s">
        <v>959</v>
      </c>
      <c r="B418" s="6" t="s">
        <v>532</v>
      </c>
      <c r="C418" s="74" t="s">
        <v>26</v>
      </c>
      <c r="D418" s="75" t="s">
        <v>10</v>
      </c>
      <c r="E418" s="7" t="s">
        <v>515</v>
      </c>
      <c r="F418" s="76" t="s">
        <v>88</v>
      </c>
      <c r="G418" s="72" t="s">
        <v>284</v>
      </c>
      <c r="H418" s="34">
        <v>1</v>
      </c>
      <c r="I418" s="71" t="s">
        <v>237</v>
      </c>
      <c r="J418" s="32">
        <v>1</v>
      </c>
      <c r="K418" s="33">
        <f>VLOOKUP(E418,照明設備稼働時間!$A$4:$F$72,5,FALSE)</f>
        <v>0</v>
      </c>
      <c r="L418" s="33" t="str">
        <f t="shared" si="12"/>
        <v>IL40W1非常灯　電源別置　φ100</v>
      </c>
      <c r="M418" s="33">
        <f>VLOOKUP(L418,照明器具一覧!$B$4:$F$155,5,FALSE)</f>
        <v>40</v>
      </c>
      <c r="N418" s="7">
        <v>1</v>
      </c>
      <c r="O418" s="82">
        <f t="shared" si="13"/>
        <v>0</v>
      </c>
    </row>
    <row r="419" spans="1:15">
      <c r="A419" s="7" t="s">
        <v>960</v>
      </c>
      <c r="B419" s="6" t="s">
        <v>532</v>
      </c>
      <c r="C419" s="74" t="s">
        <v>26</v>
      </c>
      <c r="D419" s="75" t="s">
        <v>10</v>
      </c>
      <c r="E419" s="7" t="s">
        <v>515</v>
      </c>
      <c r="F419" s="76" t="s">
        <v>87</v>
      </c>
      <c r="G419" s="72" t="s">
        <v>284</v>
      </c>
      <c r="H419" s="34">
        <v>1</v>
      </c>
      <c r="I419" s="71" t="s">
        <v>237</v>
      </c>
      <c r="J419" s="32">
        <v>1</v>
      </c>
      <c r="K419" s="33">
        <f>VLOOKUP(E419,照明設備稼働時間!$A$4:$F$72,5,FALSE)</f>
        <v>0</v>
      </c>
      <c r="L419" s="33" t="str">
        <f t="shared" si="12"/>
        <v>IL40W1非常灯　電源別置　φ100</v>
      </c>
      <c r="M419" s="33">
        <f>VLOOKUP(L419,照明器具一覧!$B$4:$F$155,5,FALSE)</f>
        <v>40</v>
      </c>
      <c r="N419" s="7">
        <v>1</v>
      </c>
      <c r="O419" s="82">
        <f t="shared" si="13"/>
        <v>0</v>
      </c>
    </row>
    <row r="420" spans="1:15">
      <c r="A420" s="7" t="s">
        <v>961</v>
      </c>
      <c r="B420" s="6" t="s">
        <v>532</v>
      </c>
      <c r="C420" s="74" t="s">
        <v>66</v>
      </c>
      <c r="D420" s="75" t="s">
        <v>10</v>
      </c>
      <c r="E420" s="7" t="s">
        <v>509</v>
      </c>
      <c r="F420" s="76" t="s">
        <v>85</v>
      </c>
      <c r="G420" s="72" t="s">
        <v>105</v>
      </c>
      <c r="H420" s="34">
        <v>1</v>
      </c>
      <c r="I420" s="71" t="s">
        <v>250</v>
      </c>
      <c r="J420" s="32">
        <v>1</v>
      </c>
      <c r="K420" s="33">
        <f>VLOOKUP(E420,照明設備稼働時間!$A$4:$F$72,5,FALSE)</f>
        <v>4172</v>
      </c>
      <c r="L420" s="33" t="str">
        <f t="shared" si="12"/>
        <v>FLR40W1階段灯　非常灯兼用　電池内蔵</v>
      </c>
      <c r="M420" s="33">
        <f>VLOOKUP(L420,照明器具一覧!$B$4:$F$155,5,FALSE)</f>
        <v>44</v>
      </c>
      <c r="N420" s="7">
        <v>1</v>
      </c>
      <c r="O420" s="82">
        <f t="shared" si="13"/>
        <v>183.56800000000001</v>
      </c>
    </row>
    <row r="421" spans="1:15">
      <c r="A421" s="7" t="s">
        <v>962</v>
      </c>
      <c r="B421" s="6" t="s">
        <v>532</v>
      </c>
      <c r="C421" s="74" t="s">
        <v>66</v>
      </c>
      <c r="D421" s="75" t="s">
        <v>10</v>
      </c>
      <c r="E421" s="7" t="s">
        <v>509</v>
      </c>
      <c r="F421" s="76" t="s">
        <v>85</v>
      </c>
      <c r="G421" s="72" t="s">
        <v>105</v>
      </c>
      <c r="H421" s="34">
        <v>1</v>
      </c>
      <c r="I421" s="71" t="s">
        <v>250</v>
      </c>
      <c r="J421" s="32">
        <v>1</v>
      </c>
      <c r="K421" s="33">
        <f>VLOOKUP(E421,照明設備稼働時間!$A$4:$F$72,5,FALSE)</f>
        <v>4172</v>
      </c>
      <c r="L421" s="33" t="str">
        <f t="shared" si="12"/>
        <v>FLR40W1階段灯　非常灯兼用　電池内蔵</v>
      </c>
      <c r="M421" s="33">
        <f>VLOOKUP(L421,照明器具一覧!$B$4:$F$155,5,FALSE)</f>
        <v>44</v>
      </c>
      <c r="N421" s="7">
        <v>1</v>
      </c>
      <c r="O421" s="82">
        <f t="shared" si="13"/>
        <v>183.56800000000001</v>
      </c>
    </row>
    <row r="422" spans="1:15">
      <c r="A422" s="7" t="s">
        <v>963</v>
      </c>
      <c r="B422" s="6" t="s">
        <v>532</v>
      </c>
      <c r="C422" s="74" t="s">
        <v>26</v>
      </c>
      <c r="D422" s="75" t="s">
        <v>10</v>
      </c>
      <c r="E422" s="7" t="s">
        <v>515</v>
      </c>
      <c r="F422" s="76" t="s">
        <v>252</v>
      </c>
      <c r="G422" s="72" t="s">
        <v>284</v>
      </c>
      <c r="H422" s="34">
        <v>1</v>
      </c>
      <c r="I422" s="71" t="s">
        <v>237</v>
      </c>
      <c r="J422" s="32">
        <v>2</v>
      </c>
      <c r="K422" s="33">
        <f>VLOOKUP(E422,照明設備稼働時間!$A$4:$F$72,5,FALSE)</f>
        <v>0</v>
      </c>
      <c r="L422" s="33" t="str">
        <f t="shared" si="12"/>
        <v>IL40W1非常灯　電源別置　φ100</v>
      </c>
      <c r="M422" s="33">
        <f>VLOOKUP(L422,照明器具一覧!$B$4:$F$155,5,FALSE)</f>
        <v>40</v>
      </c>
      <c r="N422" s="7">
        <v>1</v>
      </c>
      <c r="O422" s="82">
        <f t="shared" si="13"/>
        <v>0</v>
      </c>
    </row>
    <row r="423" spans="1:15">
      <c r="A423" s="7" t="s">
        <v>964</v>
      </c>
      <c r="B423" s="6" t="s">
        <v>532</v>
      </c>
      <c r="C423" s="74" t="s">
        <v>26</v>
      </c>
      <c r="D423" s="75" t="s">
        <v>10</v>
      </c>
      <c r="E423" s="7" t="s">
        <v>515</v>
      </c>
      <c r="F423" s="76" t="s">
        <v>188</v>
      </c>
      <c r="G423" s="72" t="s">
        <v>284</v>
      </c>
      <c r="H423" s="34">
        <v>1</v>
      </c>
      <c r="I423" s="71" t="s">
        <v>237</v>
      </c>
      <c r="J423" s="32">
        <v>1</v>
      </c>
      <c r="K423" s="33">
        <f>VLOOKUP(E423,照明設備稼働時間!$A$4:$F$72,5,FALSE)</f>
        <v>0</v>
      </c>
      <c r="L423" s="33" t="str">
        <f t="shared" si="12"/>
        <v>IL40W1非常灯　電源別置　φ100</v>
      </c>
      <c r="M423" s="33">
        <f>VLOOKUP(L423,照明器具一覧!$B$4:$F$155,5,FALSE)</f>
        <v>40</v>
      </c>
      <c r="N423" s="7">
        <v>1</v>
      </c>
      <c r="O423" s="82">
        <f t="shared" si="13"/>
        <v>0</v>
      </c>
    </row>
    <row r="424" spans="1:15">
      <c r="A424" s="7" t="s">
        <v>965</v>
      </c>
      <c r="B424" s="6" t="s">
        <v>532</v>
      </c>
      <c r="C424" s="74" t="s">
        <v>26</v>
      </c>
      <c r="D424" s="75" t="s">
        <v>10</v>
      </c>
      <c r="E424" s="7" t="s">
        <v>515</v>
      </c>
      <c r="F424" s="76" t="s">
        <v>94</v>
      </c>
      <c r="G424" s="72" t="s">
        <v>284</v>
      </c>
      <c r="H424" s="34">
        <v>1</v>
      </c>
      <c r="I424" s="71" t="s">
        <v>237</v>
      </c>
      <c r="J424" s="32">
        <v>4</v>
      </c>
      <c r="K424" s="33">
        <f>VLOOKUP(E424,照明設備稼働時間!$A$4:$F$72,5,FALSE)</f>
        <v>0</v>
      </c>
      <c r="L424" s="33" t="str">
        <f t="shared" si="12"/>
        <v>IL40W1非常灯　電源別置　φ100</v>
      </c>
      <c r="M424" s="33">
        <f>VLOOKUP(L424,照明器具一覧!$B$4:$F$155,5,FALSE)</f>
        <v>40</v>
      </c>
      <c r="N424" s="7">
        <v>1</v>
      </c>
      <c r="O424" s="82">
        <f t="shared" si="13"/>
        <v>0</v>
      </c>
    </row>
    <row r="425" spans="1:15">
      <c r="A425" s="7" t="s">
        <v>966</v>
      </c>
      <c r="B425" s="6" t="s">
        <v>532</v>
      </c>
      <c r="C425" s="74" t="s">
        <v>26</v>
      </c>
      <c r="D425" s="75" t="s">
        <v>10</v>
      </c>
      <c r="E425" s="7" t="s">
        <v>515</v>
      </c>
      <c r="F425" s="76" t="s">
        <v>36</v>
      </c>
      <c r="G425" s="72" t="s">
        <v>284</v>
      </c>
      <c r="H425" s="34">
        <v>1</v>
      </c>
      <c r="I425" s="71" t="s">
        <v>237</v>
      </c>
      <c r="J425" s="32">
        <v>6</v>
      </c>
      <c r="K425" s="33">
        <f>VLOOKUP(E425,照明設備稼働時間!$A$4:$F$72,5,FALSE)</f>
        <v>0</v>
      </c>
      <c r="L425" s="33" t="str">
        <f t="shared" si="12"/>
        <v>IL40W1非常灯　電源別置　φ100</v>
      </c>
      <c r="M425" s="33">
        <f>VLOOKUP(L425,照明器具一覧!$B$4:$F$155,5,FALSE)</f>
        <v>40</v>
      </c>
      <c r="N425" s="7">
        <v>1</v>
      </c>
      <c r="O425" s="82">
        <f t="shared" si="13"/>
        <v>0</v>
      </c>
    </row>
    <row r="426" spans="1:15">
      <c r="A426" s="7" t="s">
        <v>967</v>
      </c>
      <c r="B426" s="6" t="s">
        <v>532</v>
      </c>
      <c r="C426" s="74" t="s">
        <v>26</v>
      </c>
      <c r="D426" s="75" t="s">
        <v>10</v>
      </c>
      <c r="E426" s="7" t="s">
        <v>515</v>
      </c>
      <c r="F426" s="76" t="s">
        <v>173</v>
      </c>
      <c r="G426" s="72" t="s">
        <v>284</v>
      </c>
      <c r="H426" s="34">
        <v>1</v>
      </c>
      <c r="I426" s="71" t="s">
        <v>237</v>
      </c>
      <c r="J426" s="32">
        <v>1</v>
      </c>
      <c r="K426" s="33">
        <f>VLOOKUP(E426,照明設備稼働時間!$A$4:$F$72,5,FALSE)</f>
        <v>0</v>
      </c>
      <c r="L426" s="33" t="str">
        <f t="shared" si="12"/>
        <v>IL40W1非常灯　電源別置　φ100</v>
      </c>
      <c r="M426" s="33">
        <f>VLOOKUP(L426,照明器具一覧!$B$4:$F$155,5,FALSE)</f>
        <v>40</v>
      </c>
      <c r="N426" s="7">
        <v>1</v>
      </c>
      <c r="O426" s="82">
        <f t="shared" si="13"/>
        <v>0</v>
      </c>
    </row>
    <row r="427" spans="1:15">
      <c r="A427" s="7" t="s">
        <v>968</v>
      </c>
      <c r="B427" s="6" t="s">
        <v>532</v>
      </c>
      <c r="C427" s="74" t="s">
        <v>52</v>
      </c>
      <c r="D427" s="75" t="s">
        <v>10</v>
      </c>
      <c r="E427" s="7" t="s">
        <v>509</v>
      </c>
      <c r="F427" s="76" t="s">
        <v>37</v>
      </c>
      <c r="G427" s="72" t="s">
        <v>105</v>
      </c>
      <c r="H427" s="34">
        <v>1</v>
      </c>
      <c r="I427" s="71" t="s">
        <v>250</v>
      </c>
      <c r="J427" s="32">
        <v>1</v>
      </c>
      <c r="K427" s="33">
        <f>VLOOKUP(E427,照明設備稼働時間!$A$4:$F$72,5,FALSE)</f>
        <v>4172</v>
      </c>
      <c r="L427" s="33" t="str">
        <f t="shared" si="12"/>
        <v>FLR40W1階段灯　非常灯兼用　電池内蔵</v>
      </c>
      <c r="M427" s="33">
        <f>VLOOKUP(L427,照明器具一覧!$B$4:$F$155,5,FALSE)</f>
        <v>44</v>
      </c>
      <c r="N427" s="7">
        <v>1</v>
      </c>
      <c r="O427" s="82">
        <f t="shared" si="13"/>
        <v>183.56800000000001</v>
      </c>
    </row>
    <row r="428" spans="1:15">
      <c r="A428" s="7" t="s">
        <v>969</v>
      </c>
      <c r="B428" s="6" t="s">
        <v>532</v>
      </c>
      <c r="C428" s="74" t="s">
        <v>418</v>
      </c>
      <c r="D428" s="75" t="s">
        <v>195</v>
      </c>
      <c r="E428" s="7" t="s">
        <v>509</v>
      </c>
      <c r="F428" s="76" t="s">
        <v>196</v>
      </c>
      <c r="G428" s="72" t="s">
        <v>238</v>
      </c>
      <c r="H428" s="34">
        <v>6</v>
      </c>
      <c r="I428" s="71" t="s">
        <v>419</v>
      </c>
      <c r="J428" s="32">
        <v>1</v>
      </c>
      <c r="K428" s="33">
        <f>VLOOKUP(E428,照明設備稼働時間!$A$4:$F$72,5,FALSE)</f>
        <v>4172</v>
      </c>
      <c r="L428" s="33" t="str">
        <f t="shared" si="12"/>
        <v>FMR96EXNA6丸形埋込蛍光灯器具　φ1200</v>
      </c>
      <c r="M428" s="33">
        <f>VLOOKUP(L428,照明器具一覧!$B$4:$F$155,5,FALSE)</f>
        <v>634</v>
      </c>
      <c r="N428" s="7">
        <v>1</v>
      </c>
      <c r="O428" s="82">
        <f t="shared" si="13"/>
        <v>2645.0479999999998</v>
      </c>
    </row>
    <row r="429" spans="1:15">
      <c r="A429" s="7" t="s">
        <v>974</v>
      </c>
      <c r="B429" s="6" t="s">
        <v>532</v>
      </c>
      <c r="C429" s="74" t="s">
        <v>349</v>
      </c>
      <c r="D429" s="75" t="s">
        <v>195</v>
      </c>
      <c r="E429" s="7" t="s">
        <v>509</v>
      </c>
      <c r="F429" s="76" t="s">
        <v>196</v>
      </c>
      <c r="G429" s="72" t="s">
        <v>38</v>
      </c>
      <c r="H429" s="34">
        <v>1</v>
      </c>
      <c r="I429" s="71" t="s">
        <v>420</v>
      </c>
      <c r="J429" s="32">
        <v>16</v>
      </c>
      <c r="K429" s="33">
        <f>VLOOKUP(E429,照明設備稼働時間!$A$4:$F$72,5,FALSE)</f>
        <v>4172</v>
      </c>
      <c r="L429" s="33" t="str">
        <f t="shared" si="12"/>
        <v>FL40W1間接トラフ</v>
      </c>
      <c r="M429" s="33">
        <f>VLOOKUP(L429,照明器具一覧!$B$4:$F$155,5,FALSE)</f>
        <v>47</v>
      </c>
      <c r="N429" s="7">
        <v>1</v>
      </c>
      <c r="O429" s="82">
        <f t="shared" si="13"/>
        <v>3137.3440000000001</v>
      </c>
    </row>
    <row r="430" spans="1:15">
      <c r="A430" s="7" t="s">
        <v>973</v>
      </c>
      <c r="B430" s="6" t="s">
        <v>532</v>
      </c>
      <c r="C430" s="74" t="s">
        <v>27</v>
      </c>
      <c r="D430" s="75" t="s">
        <v>195</v>
      </c>
      <c r="E430" s="7" t="s">
        <v>509</v>
      </c>
      <c r="F430" s="76" t="s">
        <v>196</v>
      </c>
      <c r="G430" s="72" t="s">
        <v>41</v>
      </c>
      <c r="H430" s="34">
        <v>2</v>
      </c>
      <c r="I430" s="71" t="s">
        <v>360</v>
      </c>
      <c r="J430" s="32">
        <v>10</v>
      </c>
      <c r="K430" s="33">
        <f>VLOOKUP(E430,照明設備稼働時間!$A$4:$F$72,5,FALSE)</f>
        <v>4172</v>
      </c>
      <c r="L430" s="33" t="str">
        <f t="shared" si="12"/>
        <v>FPL28EXN 2埋込　スクエア□350</v>
      </c>
      <c r="M430" s="33">
        <f>VLOOKUP(L430,照明器具一覧!$B$4:$F$155,5,FALSE)</f>
        <v>33</v>
      </c>
      <c r="N430" s="7">
        <v>1</v>
      </c>
      <c r="O430" s="82">
        <f t="shared" si="13"/>
        <v>1376.76</v>
      </c>
    </row>
    <row r="431" spans="1:15">
      <c r="A431" s="7" t="s">
        <v>975</v>
      </c>
      <c r="B431" s="6" t="s">
        <v>532</v>
      </c>
      <c r="C431" s="74" t="s">
        <v>45</v>
      </c>
      <c r="D431" s="75" t="s">
        <v>195</v>
      </c>
      <c r="E431" s="7" t="s">
        <v>509</v>
      </c>
      <c r="F431" s="76" t="s">
        <v>196</v>
      </c>
      <c r="G431" s="72" t="s">
        <v>104</v>
      </c>
      <c r="H431" s="34">
        <v>1</v>
      </c>
      <c r="I431" s="71" t="s">
        <v>367</v>
      </c>
      <c r="J431" s="32">
        <v>1</v>
      </c>
      <c r="K431" s="33">
        <f>VLOOKUP(E431,照明設備稼働時間!$A$4:$F$72,5,FALSE)</f>
        <v>4172</v>
      </c>
      <c r="L431" s="33" t="str">
        <f t="shared" si="12"/>
        <v>FDL18EX-N1ダウンライト　φ150</v>
      </c>
      <c r="M431" s="33">
        <f>VLOOKUP(L431,照明器具一覧!$B$4:$F$155,5,FALSE)</f>
        <v>22</v>
      </c>
      <c r="N431" s="7">
        <v>1</v>
      </c>
      <c r="O431" s="82">
        <f t="shared" si="13"/>
        <v>91.784000000000006</v>
      </c>
    </row>
    <row r="432" spans="1:15">
      <c r="A432" s="7" t="s">
        <v>972</v>
      </c>
      <c r="B432" s="6" t="s">
        <v>532</v>
      </c>
      <c r="C432" s="74" t="s">
        <v>120</v>
      </c>
      <c r="D432" s="75" t="s">
        <v>195</v>
      </c>
      <c r="E432" s="7" t="s">
        <v>509</v>
      </c>
      <c r="F432" s="76" t="s">
        <v>36</v>
      </c>
      <c r="G432" s="72" t="s">
        <v>38</v>
      </c>
      <c r="H432" s="34">
        <v>2</v>
      </c>
      <c r="I432" s="71" t="s">
        <v>422</v>
      </c>
      <c r="J432" s="32">
        <v>5</v>
      </c>
      <c r="K432" s="33">
        <f>VLOOKUP(E432,照明設備稼働時間!$A$4:$F$72,5,FALSE)</f>
        <v>4172</v>
      </c>
      <c r="L432" s="33" t="str">
        <f t="shared" si="12"/>
        <v>FL40W2埋込W300　連結右</v>
      </c>
      <c r="M432" s="33">
        <f>VLOOKUP(L432,照明器具一覧!$B$4:$F$155,5,FALSE)</f>
        <v>94</v>
      </c>
      <c r="N432" s="7">
        <v>1</v>
      </c>
      <c r="O432" s="82">
        <f t="shared" si="13"/>
        <v>1960.84</v>
      </c>
    </row>
    <row r="433" spans="1:15">
      <c r="A433" s="7" t="s">
        <v>976</v>
      </c>
      <c r="B433" s="6" t="s">
        <v>532</v>
      </c>
      <c r="C433" s="74" t="s">
        <v>120</v>
      </c>
      <c r="D433" s="75" t="s">
        <v>195</v>
      </c>
      <c r="E433" s="7" t="s">
        <v>509</v>
      </c>
      <c r="F433" s="76" t="s">
        <v>36</v>
      </c>
      <c r="G433" s="72" t="s">
        <v>38</v>
      </c>
      <c r="H433" s="34">
        <v>2</v>
      </c>
      <c r="I433" s="71" t="s">
        <v>421</v>
      </c>
      <c r="J433" s="32">
        <v>5</v>
      </c>
      <c r="K433" s="33">
        <f>VLOOKUP(E433,照明設備稼働時間!$A$4:$F$72,5,FALSE)</f>
        <v>4172</v>
      </c>
      <c r="L433" s="33" t="str">
        <f t="shared" si="12"/>
        <v>FL40W2埋込W300　連結左</v>
      </c>
      <c r="M433" s="33">
        <f>VLOOKUP(L433,照明器具一覧!$B$4:$F$155,5,FALSE)</f>
        <v>94</v>
      </c>
      <c r="N433" s="7">
        <v>1</v>
      </c>
      <c r="O433" s="82">
        <f t="shared" si="13"/>
        <v>1960.84</v>
      </c>
    </row>
    <row r="434" spans="1:15">
      <c r="A434" s="7" t="s">
        <v>977</v>
      </c>
      <c r="B434" s="6" t="s">
        <v>532</v>
      </c>
      <c r="C434" s="74" t="s">
        <v>121</v>
      </c>
      <c r="D434" s="75" t="s">
        <v>195</v>
      </c>
      <c r="E434" s="7" t="s">
        <v>509</v>
      </c>
      <c r="F434" s="76" t="s">
        <v>36</v>
      </c>
      <c r="G434" s="72" t="s">
        <v>350</v>
      </c>
      <c r="H434" s="34">
        <v>2</v>
      </c>
      <c r="I434" s="71" t="s">
        <v>393</v>
      </c>
      <c r="J434" s="32">
        <v>2</v>
      </c>
      <c r="K434" s="33">
        <f>VLOOKUP(E434,照明設備稼働時間!$A$4:$F$72,5,FALSE)</f>
        <v>4172</v>
      </c>
      <c r="L434" s="33" t="str">
        <f t="shared" si="12"/>
        <v>FL40W ＋PIL100V40WS35E172埋込W300　非常照明　電源別置</v>
      </c>
      <c r="M434" s="33">
        <f>VLOOKUP(L434,照明器具一覧!$B$4:$F$155,5,FALSE)</f>
        <v>94</v>
      </c>
      <c r="N434" s="7">
        <v>1</v>
      </c>
      <c r="O434" s="82">
        <f t="shared" si="13"/>
        <v>784.33600000000001</v>
      </c>
    </row>
    <row r="435" spans="1:15">
      <c r="A435" s="7" t="s">
        <v>978</v>
      </c>
      <c r="B435" s="6" t="s">
        <v>532</v>
      </c>
      <c r="C435" s="74" t="s">
        <v>27</v>
      </c>
      <c r="D435" s="75" t="s">
        <v>195</v>
      </c>
      <c r="E435" s="7" t="s">
        <v>509</v>
      </c>
      <c r="F435" s="76" t="s">
        <v>36</v>
      </c>
      <c r="G435" s="72" t="s">
        <v>41</v>
      </c>
      <c r="H435" s="34">
        <v>2</v>
      </c>
      <c r="I435" s="71" t="s">
        <v>360</v>
      </c>
      <c r="J435" s="32">
        <v>2</v>
      </c>
      <c r="K435" s="33">
        <f>VLOOKUP(E435,照明設備稼働時間!$A$4:$F$72,5,FALSE)</f>
        <v>4172</v>
      </c>
      <c r="L435" s="33" t="str">
        <f t="shared" si="12"/>
        <v>FPL28EXN 2埋込　スクエア□350</v>
      </c>
      <c r="M435" s="33">
        <f>VLOOKUP(L435,照明器具一覧!$B$4:$F$155,5,FALSE)</f>
        <v>33</v>
      </c>
      <c r="N435" s="7">
        <v>1</v>
      </c>
      <c r="O435" s="82">
        <f t="shared" si="13"/>
        <v>275.35199999999998</v>
      </c>
    </row>
    <row r="436" spans="1:15">
      <c r="A436" s="7" t="s">
        <v>979</v>
      </c>
      <c r="B436" s="6" t="s">
        <v>532</v>
      </c>
      <c r="C436" s="74" t="s">
        <v>50</v>
      </c>
      <c r="D436" s="75" t="s">
        <v>195</v>
      </c>
      <c r="E436" s="7" t="s">
        <v>1098</v>
      </c>
      <c r="F436" s="76" t="s">
        <v>88</v>
      </c>
      <c r="G436" s="72" t="s">
        <v>38</v>
      </c>
      <c r="H436" s="34">
        <v>1</v>
      </c>
      <c r="I436" s="71" t="s">
        <v>371</v>
      </c>
      <c r="J436" s="32">
        <v>1</v>
      </c>
      <c r="K436" s="33">
        <f>VLOOKUP(E436,照明設備稼働時間!$A$4:$F$72,5,FALSE)</f>
        <v>1854</v>
      </c>
      <c r="L436" s="33" t="str">
        <f t="shared" si="12"/>
        <v>FL40W1埋込W220</v>
      </c>
      <c r="M436" s="33">
        <f>VLOOKUP(L436,照明器具一覧!$B$4:$F$155,5,FALSE)</f>
        <v>47</v>
      </c>
      <c r="N436" s="7">
        <v>1</v>
      </c>
      <c r="O436" s="82">
        <f t="shared" si="13"/>
        <v>87.138000000000005</v>
      </c>
    </row>
    <row r="437" spans="1:15">
      <c r="A437" s="7" t="s">
        <v>971</v>
      </c>
      <c r="B437" s="6" t="s">
        <v>532</v>
      </c>
      <c r="C437" s="74" t="s">
        <v>45</v>
      </c>
      <c r="D437" s="75" t="s">
        <v>195</v>
      </c>
      <c r="E437" s="7" t="s">
        <v>1098</v>
      </c>
      <c r="F437" s="76" t="s">
        <v>88</v>
      </c>
      <c r="G437" s="72" t="s">
        <v>104</v>
      </c>
      <c r="H437" s="34">
        <v>1</v>
      </c>
      <c r="I437" s="71" t="s">
        <v>367</v>
      </c>
      <c r="J437" s="32">
        <v>2</v>
      </c>
      <c r="K437" s="33">
        <f>VLOOKUP(E437,照明設備稼働時間!$A$4:$F$72,5,FALSE)</f>
        <v>1854</v>
      </c>
      <c r="L437" s="33" t="str">
        <f t="shared" si="12"/>
        <v>FDL18EX-N1ダウンライト　φ150</v>
      </c>
      <c r="M437" s="33">
        <f>VLOOKUP(L437,照明器具一覧!$B$4:$F$155,5,FALSE)</f>
        <v>22</v>
      </c>
      <c r="N437" s="7">
        <v>1</v>
      </c>
      <c r="O437" s="82">
        <f t="shared" si="13"/>
        <v>81.575999999999993</v>
      </c>
    </row>
    <row r="438" spans="1:15">
      <c r="A438" s="7" t="s">
        <v>980</v>
      </c>
      <c r="B438" s="6" t="s">
        <v>533</v>
      </c>
      <c r="C438" s="74" t="s">
        <v>45</v>
      </c>
      <c r="D438" s="75" t="s">
        <v>195</v>
      </c>
      <c r="E438" s="7" t="s">
        <v>1098</v>
      </c>
      <c r="F438" s="76" t="s">
        <v>88</v>
      </c>
      <c r="G438" s="72" t="s">
        <v>328</v>
      </c>
      <c r="H438" s="34">
        <v>1</v>
      </c>
      <c r="I438" s="71" t="s">
        <v>367</v>
      </c>
      <c r="J438" s="32">
        <v>1</v>
      </c>
      <c r="K438" s="33">
        <f>VLOOKUP(E438,照明設備稼働時間!$A$4:$F$72,5,FALSE)</f>
        <v>1854</v>
      </c>
      <c r="L438" s="33" t="str">
        <f t="shared" si="12"/>
        <v>LED1ダウンライト　φ150</v>
      </c>
      <c r="M438" s="33">
        <f>VLOOKUP(L438,照明器具一覧!$B$4:$F$155,5,FALSE)</f>
        <v>10</v>
      </c>
      <c r="N438" s="7">
        <v>1</v>
      </c>
      <c r="O438" s="82">
        <f t="shared" si="13"/>
        <v>18.54</v>
      </c>
    </row>
    <row r="439" spans="1:15">
      <c r="A439" s="7" t="s">
        <v>981</v>
      </c>
      <c r="B439" s="6" t="s">
        <v>532</v>
      </c>
      <c r="C439" s="74" t="s">
        <v>55</v>
      </c>
      <c r="D439" s="75" t="s">
        <v>195</v>
      </c>
      <c r="E439" s="7" t="s">
        <v>1098</v>
      </c>
      <c r="F439" s="76" t="s">
        <v>88</v>
      </c>
      <c r="G439" s="72" t="s">
        <v>38</v>
      </c>
      <c r="H439" s="34">
        <v>1</v>
      </c>
      <c r="I439" s="71" t="s">
        <v>357</v>
      </c>
      <c r="J439" s="32">
        <v>2</v>
      </c>
      <c r="K439" s="33">
        <f>VLOOKUP(E439,照明設備稼働時間!$A$4:$F$72,5,FALSE)</f>
        <v>1854</v>
      </c>
      <c r="L439" s="33" t="str">
        <f t="shared" si="12"/>
        <v>FL40W1トラフ</v>
      </c>
      <c r="M439" s="33">
        <f>VLOOKUP(L439,照明器具一覧!$B$4:$F$155,5,FALSE)</f>
        <v>47</v>
      </c>
      <c r="N439" s="7">
        <v>1</v>
      </c>
      <c r="O439" s="82">
        <f t="shared" si="13"/>
        <v>174.27600000000001</v>
      </c>
    </row>
    <row r="440" spans="1:15">
      <c r="A440" s="7" t="s">
        <v>982</v>
      </c>
      <c r="B440" s="6" t="s">
        <v>532</v>
      </c>
      <c r="C440" s="74" t="s">
        <v>44</v>
      </c>
      <c r="D440" s="75" t="s">
        <v>195</v>
      </c>
      <c r="E440" s="7" t="s">
        <v>1111</v>
      </c>
      <c r="F440" s="76" t="s">
        <v>172</v>
      </c>
      <c r="G440" s="72" t="s">
        <v>40</v>
      </c>
      <c r="H440" s="34">
        <v>1</v>
      </c>
      <c r="I440" s="71" t="s">
        <v>372</v>
      </c>
      <c r="J440" s="32">
        <v>2</v>
      </c>
      <c r="K440" s="33">
        <f>VLOOKUP(E440,照明設備稼働時間!$A$4:$F$72,5,FALSE)</f>
        <v>309</v>
      </c>
      <c r="L440" s="33" t="str">
        <f t="shared" si="12"/>
        <v>FL20W1ブラケット</v>
      </c>
      <c r="M440" s="33">
        <f>VLOOKUP(L440,照明器具一覧!$B$4:$F$155,5,FALSE)</f>
        <v>22</v>
      </c>
      <c r="N440" s="7">
        <v>1</v>
      </c>
      <c r="O440" s="82">
        <f t="shared" si="13"/>
        <v>13.596</v>
      </c>
    </row>
    <row r="441" spans="1:15">
      <c r="A441" s="7" t="s">
        <v>983</v>
      </c>
      <c r="B441" s="6" t="s">
        <v>532</v>
      </c>
      <c r="C441" s="74"/>
      <c r="D441" s="75" t="s">
        <v>195</v>
      </c>
      <c r="E441" s="7" t="s">
        <v>1111</v>
      </c>
      <c r="F441" s="76" t="s">
        <v>172</v>
      </c>
      <c r="G441" s="72" t="s">
        <v>194</v>
      </c>
      <c r="H441" s="34">
        <v>1</v>
      </c>
      <c r="I441" s="71" t="s">
        <v>412</v>
      </c>
      <c r="J441" s="32">
        <v>1</v>
      </c>
      <c r="K441" s="33">
        <f>VLOOKUP(E441,照明設備稼働時間!$A$4:$F$72,5,FALSE)</f>
        <v>309</v>
      </c>
      <c r="L441" s="33" t="str">
        <f t="shared" si="12"/>
        <v>FL15W1ミラー灯</v>
      </c>
      <c r="M441" s="33">
        <f>VLOOKUP(L441,照明器具一覧!$B$4:$F$155,5,FALSE)</f>
        <v>15</v>
      </c>
      <c r="N441" s="7">
        <v>1</v>
      </c>
      <c r="O441" s="82">
        <f t="shared" si="13"/>
        <v>4.6349999999999998</v>
      </c>
    </row>
    <row r="442" spans="1:15">
      <c r="A442" s="7" t="s">
        <v>984</v>
      </c>
      <c r="B442" s="6" t="s">
        <v>532</v>
      </c>
      <c r="C442" s="74" t="s">
        <v>46</v>
      </c>
      <c r="D442" s="75" t="s">
        <v>195</v>
      </c>
      <c r="E442" s="7" t="s">
        <v>1111</v>
      </c>
      <c r="F442" s="76" t="s">
        <v>172</v>
      </c>
      <c r="G442" s="72" t="s">
        <v>38</v>
      </c>
      <c r="H442" s="34">
        <v>2</v>
      </c>
      <c r="I442" s="71" t="s">
        <v>359</v>
      </c>
      <c r="J442" s="32">
        <v>2</v>
      </c>
      <c r="K442" s="33">
        <f>VLOOKUP(E442,照明設備稼働時間!$A$4:$F$72,5,FALSE)</f>
        <v>309</v>
      </c>
      <c r="L442" s="33" t="str">
        <f t="shared" si="12"/>
        <v>FL40W2埋込W300</v>
      </c>
      <c r="M442" s="33">
        <f>VLOOKUP(L442,照明器具一覧!$B$4:$F$155,5,FALSE)</f>
        <v>94</v>
      </c>
      <c r="N442" s="7">
        <v>1</v>
      </c>
      <c r="O442" s="82">
        <f t="shared" si="13"/>
        <v>58.091999999999999</v>
      </c>
    </row>
    <row r="443" spans="1:15">
      <c r="A443" s="7" t="s">
        <v>970</v>
      </c>
      <c r="B443" s="6" t="s">
        <v>532</v>
      </c>
      <c r="C443" s="74" t="s">
        <v>68</v>
      </c>
      <c r="D443" s="75" t="s">
        <v>195</v>
      </c>
      <c r="E443" s="7" t="s">
        <v>1111</v>
      </c>
      <c r="F443" s="76" t="s">
        <v>172</v>
      </c>
      <c r="G443" s="72" t="s">
        <v>351</v>
      </c>
      <c r="H443" s="34">
        <v>2</v>
      </c>
      <c r="I443" s="71" t="s">
        <v>393</v>
      </c>
      <c r="J443" s="32">
        <v>3</v>
      </c>
      <c r="K443" s="33">
        <f>VLOOKUP(E443,照明設備稼働時間!$A$4:$F$72,5,FALSE)</f>
        <v>309</v>
      </c>
      <c r="L443" s="33" t="str">
        <f t="shared" si="12"/>
        <v>FL40SW＋PIL100V40WS35E172埋込W300　非常照明　電源別置</v>
      </c>
      <c r="M443" s="33">
        <f>VLOOKUP(L443,照明器具一覧!$B$4:$F$155,5,FALSE)</f>
        <v>94</v>
      </c>
      <c r="N443" s="7">
        <v>1</v>
      </c>
      <c r="O443" s="82">
        <f t="shared" si="13"/>
        <v>87.138000000000005</v>
      </c>
    </row>
    <row r="444" spans="1:15">
      <c r="A444" s="7" t="s">
        <v>985</v>
      </c>
      <c r="B444" s="6" t="s">
        <v>532</v>
      </c>
      <c r="C444" s="74" t="s">
        <v>47</v>
      </c>
      <c r="D444" s="75" t="s">
        <v>195</v>
      </c>
      <c r="E444" s="7" t="s">
        <v>1111</v>
      </c>
      <c r="F444" s="76" t="s">
        <v>197</v>
      </c>
      <c r="G444" s="72" t="s">
        <v>294</v>
      </c>
      <c r="H444" s="34">
        <v>2</v>
      </c>
      <c r="I444" s="71" t="s">
        <v>393</v>
      </c>
      <c r="J444" s="32">
        <v>1</v>
      </c>
      <c r="K444" s="33">
        <f>VLOOKUP(E444,照明設備稼働時間!$A$4:$F$72,5,FALSE)</f>
        <v>309</v>
      </c>
      <c r="L444" s="33" t="str">
        <f t="shared" si="12"/>
        <v>FL20W＋PIL100V40WS35E172埋込W300　非常照明　電源別置</v>
      </c>
      <c r="M444" s="33">
        <f>VLOOKUP(L444,照明器具一覧!$B$4:$F$155,5,FALSE)</f>
        <v>44</v>
      </c>
      <c r="N444" s="7">
        <v>1</v>
      </c>
      <c r="O444" s="82">
        <f t="shared" si="13"/>
        <v>13.596</v>
      </c>
    </row>
    <row r="445" spans="1:15">
      <c r="A445" s="7" t="s">
        <v>986</v>
      </c>
      <c r="B445" s="6" t="s">
        <v>532</v>
      </c>
      <c r="C445" s="74" t="s">
        <v>198</v>
      </c>
      <c r="D445" s="75" t="s">
        <v>195</v>
      </c>
      <c r="E445" s="7" t="s">
        <v>1111</v>
      </c>
      <c r="F445" s="76" t="s">
        <v>76</v>
      </c>
      <c r="G445" s="72" t="s">
        <v>40</v>
      </c>
      <c r="H445" s="34">
        <v>2</v>
      </c>
      <c r="I445" s="71" t="s">
        <v>372</v>
      </c>
      <c r="J445" s="32">
        <v>1</v>
      </c>
      <c r="K445" s="33">
        <f>VLOOKUP(E445,照明設備稼働時間!$A$4:$F$72,5,FALSE)</f>
        <v>309</v>
      </c>
      <c r="L445" s="33" t="str">
        <f t="shared" si="12"/>
        <v>FL20W2ブラケット</v>
      </c>
      <c r="M445" s="33">
        <f>VLOOKUP(L445,照明器具一覧!$B$4:$F$155,5,FALSE)</f>
        <v>44</v>
      </c>
      <c r="N445" s="7">
        <v>1</v>
      </c>
      <c r="O445" s="82">
        <f t="shared" si="13"/>
        <v>13.596</v>
      </c>
    </row>
    <row r="446" spans="1:15">
      <c r="A446" s="7" t="s">
        <v>987</v>
      </c>
      <c r="B446" s="6" t="s">
        <v>532</v>
      </c>
      <c r="C446" s="74" t="s">
        <v>198</v>
      </c>
      <c r="D446" s="75" t="s">
        <v>195</v>
      </c>
      <c r="E446" s="7" t="s">
        <v>1111</v>
      </c>
      <c r="F446" s="76" t="s">
        <v>199</v>
      </c>
      <c r="G446" s="72" t="s">
        <v>40</v>
      </c>
      <c r="H446" s="34">
        <v>2</v>
      </c>
      <c r="I446" s="71" t="s">
        <v>372</v>
      </c>
      <c r="J446" s="32">
        <v>1</v>
      </c>
      <c r="K446" s="33">
        <f>VLOOKUP(E446,照明設備稼働時間!$A$4:$F$72,5,FALSE)</f>
        <v>309</v>
      </c>
      <c r="L446" s="33" t="str">
        <f t="shared" si="12"/>
        <v>FL20W2ブラケット</v>
      </c>
      <c r="M446" s="33">
        <f>VLOOKUP(L446,照明器具一覧!$B$4:$F$155,5,FALSE)</f>
        <v>44</v>
      </c>
      <c r="N446" s="7">
        <v>1</v>
      </c>
      <c r="O446" s="82">
        <f t="shared" si="13"/>
        <v>13.596</v>
      </c>
    </row>
    <row r="447" spans="1:15">
      <c r="A447" s="7" t="s">
        <v>988</v>
      </c>
      <c r="B447" s="6" t="s">
        <v>532</v>
      </c>
      <c r="C447" s="74" t="s">
        <v>200</v>
      </c>
      <c r="D447" s="75" t="s">
        <v>195</v>
      </c>
      <c r="E447" s="7" t="s">
        <v>1111</v>
      </c>
      <c r="F447" s="76" t="s">
        <v>199</v>
      </c>
      <c r="G447" s="72" t="s">
        <v>40</v>
      </c>
      <c r="H447" s="34">
        <v>1</v>
      </c>
      <c r="I447" s="71" t="s">
        <v>372</v>
      </c>
      <c r="J447" s="32">
        <v>2</v>
      </c>
      <c r="K447" s="33">
        <f>VLOOKUP(E447,照明設備稼働時間!$A$4:$F$72,5,FALSE)</f>
        <v>309</v>
      </c>
      <c r="L447" s="33" t="str">
        <f t="shared" si="12"/>
        <v>FL20W1ブラケット</v>
      </c>
      <c r="M447" s="33">
        <f>VLOOKUP(L447,照明器具一覧!$B$4:$F$155,5,FALSE)</f>
        <v>22</v>
      </c>
      <c r="N447" s="7">
        <v>1</v>
      </c>
      <c r="O447" s="82">
        <f t="shared" si="13"/>
        <v>13.596</v>
      </c>
    </row>
    <row r="448" spans="1:15">
      <c r="A448" s="7" t="s">
        <v>989</v>
      </c>
      <c r="B448" s="6" t="s">
        <v>532</v>
      </c>
      <c r="C448" s="74" t="s">
        <v>201</v>
      </c>
      <c r="D448" s="75" t="s">
        <v>195</v>
      </c>
      <c r="E448" s="7" t="s">
        <v>513</v>
      </c>
      <c r="F448" s="76" t="s">
        <v>202</v>
      </c>
      <c r="G448" s="72" t="s">
        <v>38</v>
      </c>
      <c r="H448" s="34">
        <v>2</v>
      </c>
      <c r="I448" s="71" t="s">
        <v>359</v>
      </c>
      <c r="J448" s="32">
        <v>7</v>
      </c>
      <c r="K448" s="33">
        <f>VLOOKUP(E448,照明設備稼働時間!$A$4:$F$72,5,FALSE)</f>
        <v>309</v>
      </c>
      <c r="L448" s="33" t="str">
        <f t="shared" si="12"/>
        <v>FL40W2埋込W300</v>
      </c>
      <c r="M448" s="33">
        <f>VLOOKUP(L448,照明器具一覧!$B$4:$F$155,5,FALSE)</f>
        <v>94</v>
      </c>
      <c r="N448" s="7">
        <v>1</v>
      </c>
      <c r="O448" s="82">
        <f t="shared" si="13"/>
        <v>203.322</v>
      </c>
    </row>
    <row r="449" spans="1:15">
      <c r="A449" s="7" t="s">
        <v>990</v>
      </c>
      <c r="B449" s="6" t="s">
        <v>532</v>
      </c>
      <c r="C449" s="74"/>
      <c r="D449" s="75" t="s">
        <v>195</v>
      </c>
      <c r="E449" s="7" t="s">
        <v>513</v>
      </c>
      <c r="F449" s="76" t="s">
        <v>202</v>
      </c>
      <c r="G449" s="72" t="s">
        <v>41</v>
      </c>
      <c r="H449" s="34">
        <v>2</v>
      </c>
      <c r="I449" s="71" t="s">
        <v>360</v>
      </c>
      <c r="J449" s="32">
        <v>1</v>
      </c>
      <c r="K449" s="33">
        <f>VLOOKUP(E449,照明設備稼働時間!$A$4:$F$72,5,FALSE)</f>
        <v>309</v>
      </c>
      <c r="L449" s="33" t="str">
        <f t="shared" si="12"/>
        <v>FPL28EXN 2埋込　スクエア□350</v>
      </c>
      <c r="M449" s="33">
        <f>VLOOKUP(L449,照明器具一覧!$B$4:$F$155,5,FALSE)</f>
        <v>33</v>
      </c>
      <c r="N449" s="7">
        <v>1</v>
      </c>
      <c r="O449" s="82">
        <f t="shared" si="13"/>
        <v>10.196999999999999</v>
      </c>
    </row>
    <row r="450" spans="1:15">
      <c r="A450" s="7" t="s">
        <v>991</v>
      </c>
      <c r="B450" s="6" t="s">
        <v>532</v>
      </c>
      <c r="C450" s="74"/>
      <c r="D450" s="75" t="s">
        <v>195</v>
      </c>
      <c r="E450" s="7" t="s">
        <v>1100</v>
      </c>
      <c r="F450" s="76" t="s">
        <v>203</v>
      </c>
      <c r="G450" s="72" t="s">
        <v>38</v>
      </c>
      <c r="H450" s="34">
        <v>3</v>
      </c>
      <c r="I450" s="71" t="s">
        <v>359</v>
      </c>
      <c r="J450" s="32">
        <v>1</v>
      </c>
      <c r="K450" s="33">
        <f>VLOOKUP(E450,照明設備稼働時間!$A$4:$F$72,5,FALSE)</f>
        <v>618</v>
      </c>
      <c r="L450" s="33" t="str">
        <f t="shared" si="12"/>
        <v>FL40W3埋込W300</v>
      </c>
      <c r="M450" s="33">
        <f>VLOOKUP(L450,照明器具一覧!$B$4:$F$155,5,FALSE)</f>
        <v>141</v>
      </c>
      <c r="N450" s="7">
        <v>1</v>
      </c>
      <c r="O450" s="82">
        <f t="shared" si="13"/>
        <v>87.138000000000005</v>
      </c>
    </row>
    <row r="451" spans="1:15">
      <c r="A451" s="7" t="s">
        <v>992</v>
      </c>
      <c r="B451" s="6" t="s">
        <v>532</v>
      </c>
      <c r="C451" s="74"/>
      <c r="D451" s="75" t="s">
        <v>195</v>
      </c>
      <c r="E451" s="7" t="s">
        <v>1100</v>
      </c>
      <c r="F451" s="76" t="s">
        <v>203</v>
      </c>
      <c r="G451" s="72" t="s">
        <v>209</v>
      </c>
      <c r="H451" s="34">
        <v>1</v>
      </c>
      <c r="I451" s="71" t="s">
        <v>374</v>
      </c>
      <c r="J451" s="32">
        <v>2</v>
      </c>
      <c r="K451" s="33">
        <f>VLOOKUP(E451,照明設備稼働時間!$A$4:$F$72,5,FALSE)</f>
        <v>618</v>
      </c>
      <c r="L451" s="33" t="str">
        <f t="shared" si="12"/>
        <v>IL100W1ダウンライト　φ125</v>
      </c>
      <c r="M451" s="33">
        <f>VLOOKUP(L451,照明器具一覧!$B$4:$F$155,5,FALSE)</f>
        <v>100</v>
      </c>
      <c r="N451" s="7">
        <v>1</v>
      </c>
      <c r="O451" s="82">
        <f t="shared" si="13"/>
        <v>123.6</v>
      </c>
    </row>
    <row r="452" spans="1:15">
      <c r="A452" s="7" t="s">
        <v>993</v>
      </c>
      <c r="B452" s="6" t="s">
        <v>532</v>
      </c>
      <c r="C452" s="74" t="s">
        <v>204</v>
      </c>
      <c r="D452" s="75" t="s">
        <v>195</v>
      </c>
      <c r="E452" s="7" t="s">
        <v>513</v>
      </c>
      <c r="F452" s="76" t="s">
        <v>85</v>
      </c>
      <c r="G452" s="72" t="s">
        <v>351</v>
      </c>
      <c r="H452" s="34">
        <v>2</v>
      </c>
      <c r="I452" s="71" t="s">
        <v>423</v>
      </c>
      <c r="J452" s="32">
        <v>1</v>
      </c>
      <c r="K452" s="33">
        <f>VLOOKUP(E452,照明設備稼働時間!$A$4:$F$72,5,FALSE)</f>
        <v>309</v>
      </c>
      <c r="L452" s="33" t="str">
        <f t="shared" ref="L452:L503" si="14">G452&amp;H452&amp;I452</f>
        <v>FL40SW＋PIL100V40WS35E172埋込W300　非常照明　電池内蔵</v>
      </c>
      <c r="M452" s="33">
        <f>VLOOKUP(L452,照明器具一覧!$B$4:$F$155,5,FALSE)</f>
        <v>94</v>
      </c>
      <c r="N452" s="7">
        <v>1</v>
      </c>
      <c r="O452" s="82">
        <f t="shared" ref="O452:O503" si="15">(J452*K452*M452*N452)/1000</f>
        <v>29.045999999999999</v>
      </c>
    </row>
    <row r="453" spans="1:15">
      <c r="A453" s="7" t="s">
        <v>994</v>
      </c>
      <c r="B453" s="6" t="s">
        <v>532</v>
      </c>
      <c r="C453" s="74"/>
      <c r="D453" s="75" t="s">
        <v>195</v>
      </c>
      <c r="E453" s="7" t="s">
        <v>513</v>
      </c>
      <c r="F453" s="76" t="s">
        <v>85</v>
      </c>
      <c r="G453" s="72" t="s">
        <v>351</v>
      </c>
      <c r="H453" s="34">
        <v>2</v>
      </c>
      <c r="I453" s="71" t="s">
        <v>424</v>
      </c>
      <c r="J453" s="32">
        <v>1</v>
      </c>
      <c r="K453" s="33">
        <f>VLOOKUP(E453,照明設備稼働時間!$A$4:$F$72,5,FALSE)</f>
        <v>309</v>
      </c>
      <c r="L453" s="33" t="str">
        <f t="shared" si="14"/>
        <v>FL40SW＋PIL100V40WS35E172壁付　非常照明　電池内蔵</v>
      </c>
      <c r="M453" s="33">
        <f>VLOOKUP(L453,照明器具一覧!$B$4:$F$155,5,FALSE)</f>
        <v>94</v>
      </c>
      <c r="N453" s="7">
        <v>1</v>
      </c>
      <c r="O453" s="82">
        <f t="shared" si="15"/>
        <v>29.045999999999999</v>
      </c>
    </row>
    <row r="454" spans="1:15">
      <c r="A454" s="7" t="s">
        <v>995</v>
      </c>
      <c r="B454" s="6" t="s">
        <v>532</v>
      </c>
      <c r="C454" s="74" t="s">
        <v>45</v>
      </c>
      <c r="D454" s="75" t="s">
        <v>195</v>
      </c>
      <c r="E454" s="7" t="s">
        <v>513</v>
      </c>
      <c r="F454" s="76" t="s">
        <v>239</v>
      </c>
      <c r="G454" s="72" t="s">
        <v>104</v>
      </c>
      <c r="H454" s="34">
        <v>1</v>
      </c>
      <c r="I454" s="71" t="s">
        <v>367</v>
      </c>
      <c r="J454" s="32">
        <v>1</v>
      </c>
      <c r="K454" s="33">
        <f>VLOOKUP(E454,照明設備稼働時間!$A$4:$F$72,5,FALSE)</f>
        <v>309</v>
      </c>
      <c r="L454" s="33" t="str">
        <f t="shared" si="14"/>
        <v>FDL18EX-N1ダウンライト　φ150</v>
      </c>
      <c r="M454" s="33">
        <f>VLOOKUP(L454,照明器具一覧!$B$4:$F$155,5,FALSE)</f>
        <v>22</v>
      </c>
      <c r="N454" s="7">
        <v>1</v>
      </c>
      <c r="O454" s="82">
        <f t="shared" si="15"/>
        <v>6.798</v>
      </c>
    </row>
    <row r="455" spans="1:15">
      <c r="A455" s="7" t="s">
        <v>996</v>
      </c>
      <c r="B455" s="6" t="s">
        <v>532</v>
      </c>
      <c r="C455" s="74" t="s">
        <v>45</v>
      </c>
      <c r="D455" s="75" t="s">
        <v>195</v>
      </c>
      <c r="E455" s="7" t="s">
        <v>325</v>
      </c>
      <c r="F455" s="76" t="s">
        <v>140</v>
      </c>
      <c r="G455" s="72" t="s">
        <v>104</v>
      </c>
      <c r="H455" s="34">
        <v>1</v>
      </c>
      <c r="I455" s="71" t="s">
        <v>367</v>
      </c>
      <c r="J455" s="32">
        <v>2</v>
      </c>
      <c r="K455" s="33">
        <f>VLOOKUP(E455,照明設備稼働時間!$A$4:$F$72,5,FALSE)</f>
        <v>0</v>
      </c>
      <c r="L455" s="33" t="str">
        <f t="shared" si="14"/>
        <v>FDL18EX-N1ダウンライト　φ150</v>
      </c>
      <c r="M455" s="33">
        <f>VLOOKUP(L455,照明器具一覧!$B$4:$F$155,5,FALSE)</f>
        <v>22</v>
      </c>
      <c r="N455" s="7">
        <v>1</v>
      </c>
      <c r="O455" s="82">
        <f t="shared" si="15"/>
        <v>0</v>
      </c>
    </row>
    <row r="456" spans="1:15">
      <c r="A456" s="7" t="s">
        <v>997</v>
      </c>
      <c r="B456" s="6" t="s">
        <v>532</v>
      </c>
      <c r="C456" s="74" t="s">
        <v>201</v>
      </c>
      <c r="D456" s="75" t="s">
        <v>195</v>
      </c>
      <c r="E456" s="7" t="s">
        <v>513</v>
      </c>
      <c r="F456" s="76" t="s">
        <v>205</v>
      </c>
      <c r="G456" s="72" t="s">
        <v>38</v>
      </c>
      <c r="H456" s="34">
        <v>2</v>
      </c>
      <c r="I456" s="71" t="s">
        <v>359</v>
      </c>
      <c r="J456" s="32">
        <v>3</v>
      </c>
      <c r="K456" s="33">
        <f>VLOOKUP(E456,照明設備稼働時間!$A$4:$F$72,5,FALSE)</f>
        <v>309</v>
      </c>
      <c r="L456" s="33" t="str">
        <f t="shared" si="14"/>
        <v>FL40W2埋込W300</v>
      </c>
      <c r="M456" s="33">
        <f>VLOOKUP(L456,照明器具一覧!$B$4:$F$155,5,FALSE)</f>
        <v>94</v>
      </c>
      <c r="N456" s="7">
        <v>1</v>
      </c>
      <c r="O456" s="82">
        <f t="shared" si="15"/>
        <v>87.138000000000005</v>
      </c>
    </row>
    <row r="457" spans="1:15">
      <c r="A457" s="7" t="s">
        <v>998</v>
      </c>
      <c r="B457" s="6" t="s">
        <v>532</v>
      </c>
      <c r="C457" s="74" t="s">
        <v>198</v>
      </c>
      <c r="D457" s="75" t="s">
        <v>195</v>
      </c>
      <c r="E457" s="7" t="s">
        <v>1111</v>
      </c>
      <c r="F457" s="76" t="s">
        <v>206</v>
      </c>
      <c r="G457" s="72" t="s">
        <v>40</v>
      </c>
      <c r="H457" s="34">
        <v>2</v>
      </c>
      <c r="I457" s="71" t="s">
        <v>406</v>
      </c>
      <c r="J457" s="32">
        <v>1</v>
      </c>
      <c r="K457" s="33">
        <f>VLOOKUP(E457,照明設備稼働時間!$A$4:$F$72,5,FALSE)</f>
        <v>309</v>
      </c>
      <c r="L457" s="33" t="str">
        <f t="shared" si="14"/>
        <v>FL20W2ブラケット　WP</v>
      </c>
      <c r="M457" s="33">
        <f>VLOOKUP(L457,照明器具一覧!$B$4:$F$155,5,FALSE)</f>
        <v>44</v>
      </c>
      <c r="N457" s="7">
        <v>1</v>
      </c>
      <c r="O457" s="82">
        <f t="shared" si="15"/>
        <v>13.596</v>
      </c>
    </row>
    <row r="458" spans="1:15">
      <c r="A458" s="7" t="s">
        <v>999</v>
      </c>
      <c r="B458" s="6" t="s">
        <v>532</v>
      </c>
      <c r="C458" s="74" t="s">
        <v>200</v>
      </c>
      <c r="D458" s="75" t="s">
        <v>195</v>
      </c>
      <c r="E458" s="7" t="s">
        <v>1111</v>
      </c>
      <c r="F458" s="76" t="s">
        <v>206</v>
      </c>
      <c r="G458" s="72" t="s">
        <v>147</v>
      </c>
      <c r="H458" s="34">
        <v>1</v>
      </c>
      <c r="I458" s="71" t="s">
        <v>425</v>
      </c>
      <c r="J458" s="32">
        <v>2</v>
      </c>
      <c r="K458" s="33">
        <f>VLOOKUP(E458,照明設備稼働時間!$A$4:$F$72,5,FALSE)</f>
        <v>309</v>
      </c>
      <c r="L458" s="33" t="str">
        <f t="shared" si="14"/>
        <v>IL40W1壁付防水型白熱灯</v>
      </c>
      <c r="M458" s="33">
        <f>VLOOKUP(L458,照明器具一覧!$B$4:$F$155,5,FALSE)</f>
        <v>40</v>
      </c>
      <c r="N458" s="7">
        <v>1</v>
      </c>
      <c r="O458" s="82">
        <f t="shared" si="15"/>
        <v>24.72</v>
      </c>
    </row>
    <row r="459" spans="1:15">
      <c r="A459" s="7" t="s">
        <v>1000</v>
      </c>
      <c r="B459" s="6" t="s">
        <v>532</v>
      </c>
      <c r="C459" s="74" t="s">
        <v>198</v>
      </c>
      <c r="D459" s="75" t="s">
        <v>195</v>
      </c>
      <c r="E459" s="7" t="s">
        <v>1111</v>
      </c>
      <c r="F459" s="76" t="s">
        <v>76</v>
      </c>
      <c r="G459" s="72" t="s">
        <v>40</v>
      </c>
      <c r="H459" s="34">
        <v>2</v>
      </c>
      <c r="I459" s="71" t="s">
        <v>406</v>
      </c>
      <c r="J459" s="32">
        <v>1</v>
      </c>
      <c r="K459" s="33">
        <f>VLOOKUP(E459,照明設備稼働時間!$A$4:$F$72,5,FALSE)</f>
        <v>309</v>
      </c>
      <c r="L459" s="33" t="str">
        <f t="shared" si="14"/>
        <v>FL20W2ブラケット　WP</v>
      </c>
      <c r="M459" s="33">
        <f>VLOOKUP(L459,照明器具一覧!$B$4:$F$155,5,FALSE)</f>
        <v>44</v>
      </c>
      <c r="N459" s="7">
        <v>1</v>
      </c>
      <c r="O459" s="82">
        <f t="shared" si="15"/>
        <v>13.596</v>
      </c>
    </row>
    <row r="460" spans="1:15">
      <c r="A460" s="7" t="s">
        <v>1001</v>
      </c>
      <c r="B460" s="6" t="s">
        <v>532</v>
      </c>
      <c r="C460" s="74" t="s">
        <v>47</v>
      </c>
      <c r="D460" s="75" t="s">
        <v>195</v>
      </c>
      <c r="E460" s="7" t="s">
        <v>1111</v>
      </c>
      <c r="F460" s="76" t="s">
        <v>427</v>
      </c>
      <c r="G460" s="72" t="s">
        <v>294</v>
      </c>
      <c r="H460" s="34">
        <v>2</v>
      </c>
      <c r="I460" s="71" t="s">
        <v>426</v>
      </c>
      <c r="J460" s="32">
        <v>1</v>
      </c>
      <c r="K460" s="33">
        <f>VLOOKUP(E460,照明設備稼働時間!$A$4:$F$72,5,FALSE)</f>
        <v>309</v>
      </c>
      <c r="L460" s="33" t="str">
        <f t="shared" si="14"/>
        <v>FL20W＋PIL100V40WS35E172埋込W300　非常照明　電源別置　</v>
      </c>
      <c r="M460" s="33">
        <f>VLOOKUP(L460,照明器具一覧!$B$4:$F$155,5,FALSE)</f>
        <v>44</v>
      </c>
      <c r="N460" s="7">
        <v>1</v>
      </c>
      <c r="O460" s="82">
        <f t="shared" si="15"/>
        <v>13.596</v>
      </c>
    </row>
    <row r="461" spans="1:15">
      <c r="A461" s="7" t="s">
        <v>1002</v>
      </c>
      <c r="B461" s="6" t="s">
        <v>532</v>
      </c>
      <c r="C461" s="74" t="s">
        <v>46</v>
      </c>
      <c r="D461" s="75" t="s">
        <v>195</v>
      </c>
      <c r="E461" s="7" t="s">
        <v>1111</v>
      </c>
      <c r="F461" s="76" t="s">
        <v>171</v>
      </c>
      <c r="G461" s="72" t="s">
        <v>38</v>
      </c>
      <c r="H461" s="34">
        <v>2</v>
      </c>
      <c r="I461" s="71" t="s">
        <v>359</v>
      </c>
      <c r="J461" s="32">
        <v>4</v>
      </c>
      <c r="K461" s="33">
        <f>VLOOKUP(E461,照明設備稼働時間!$A$4:$F$72,5,FALSE)</f>
        <v>309</v>
      </c>
      <c r="L461" s="33" t="str">
        <f t="shared" si="14"/>
        <v>FL40W2埋込W300</v>
      </c>
      <c r="M461" s="33">
        <f>VLOOKUP(L461,照明器具一覧!$B$4:$F$155,5,FALSE)</f>
        <v>94</v>
      </c>
      <c r="N461" s="7">
        <v>1</v>
      </c>
      <c r="O461" s="82">
        <f t="shared" si="15"/>
        <v>116.184</v>
      </c>
    </row>
    <row r="462" spans="1:15">
      <c r="A462" s="7" t="s">
        <v>1003</v>
      </c>
      <c r="B462" s="6" t="s">
        <v>532</v>
      </c>
      <c r="C462" s="74" t="s">
        <v>68</v>
      </c>
      <c r="D462" s="75" t="s">
        <v>195</v>
      </c>
      <c r="E462" s="7" t="s">
        <v>1111</v>
      </c>
      <c r="F462" s="76" t="s">
        <v>171</v>
      </c>
      <c r="G462" s="72" t="s">
        <v>351</v>
      </c>
      <c r="H462" s="34">
        <v>2</v>
      </c>
      <c r="I462" s="71" t="s">
        <v>393</v>
      </c>
      <c r="J462" s="32">
        <v>2</v>
      </c>
      <c r="K462" s="33">
        <f>VLOOKUP(E462,照明設備稼働時間!$A$4:$F$72,5,FALSE)</f>
        <v>309</v>
      </c>
      <c r="L462" s="33" t="str">
        <f t="shared" si="14"/>
        <v>FL40SW＋PIL100V40WS35E172埋込W300　非常照明　電源別置</v>
      </c>
      <c r="M462" s="33">
        <f>VLOOKUP(L462,照明器具一覧!$B$4:$F$155,5,FALSE)</f>
        <v>94</v>
      </c>
      <c r="N462" s="7">
        <v>1</v>
      </c>
      <c r="O462" s="82">
        <f t="shared" si="15"/>
        <v>58.091999999999999</v>
      </c>
    </row>
    <row r="463" spans="1:15">
      <c r="A463" s="7" t="s">
        <v>1004</v>
      </c>
      <c r="B463" s="6" t="s">
        <v>532</v>
      </c>
      <c r="C463" s="74" t="s">
        <v>207</v>
      </c>
      <c r="D463" s="75" t="s">
        <v>195</v>
      </c>
      <c r="E463" s="7" t="s">
        <v>1111</v>
      </c>
      <c r="F463" s="76" t="s">
        <v>171</v>
      </c>
      <c r="G463" s="72" t="s">
        <v>40</v>
      </c>
      <c r="H463" s="34">
        <v>1</v>
      </c>
      <c r="I463" s="71" t="s">
        <v>372</v>
      </c>
      <c r="J463" s="32">
        <v>2</v>
      </c>
      <c r="K463" s="33">
        <f>VLOOKUP(E463,照明設備稼働時間!$A$4:$F$72,5,FALSE)</f>
        <v>309</v>
      </c>
      <c r="L463" s="33" t="str">
        <f t="shared" si="14"/>
        <v>FL20W1ブラケット</v>
      </c>
      <c r="M463" s="33">
        <f>VLOOKUP(L463,照明器具一覧!$B$4:$F$155,5,FALSE)</f>
        <v>22</v>
      </c>
      <c r="N463" s="7">
        <v>1</v>
      </c>
      <c r="O463" s="82">
        <f t="shared" si="15"/>
        <v>13.596</v>
      </c>
    </row>
    <row r="464" spans="1:15">
      <c r="A464" s="7" t="s">
        <v>1005</v>
      </c>
      <c r="B464" s="6" t="s">
        <v>532</v>
      </c>
      <c r="C464" s="74"/>
      <c r="D464" s="75" t="s">
        <v>195</v>
      </c>
      <c r="E464" s="7" t="s">
        <v>1111</v>
      </c>
      <c r="F464" s="76" t="s">
        <v>171</v>
      </c>
      <c r="G464" s="72" t="s">
        <v>194</v>
      </c>
      <c r="H464" s="34">
        <v>1</v>
      </c>
      <c r="I464" s="71" t="s">
        <v>372</v>
      </c>
      <c r="J464" s="32">
        <v>1</v>
      </c>
      <c r="K464" s="33">
        <f>VLOOKUP(E464,照明設備稼働時間!$A$4:$F$72,5,FALSE)</f>
        <v>309</v>
      </c>
      <c r="L464" s="33" t="str">
        <f t="shared" si="14"/>
        <v>FL15W1ブラケット</v>
      </c>
      <c r="M464" s="33">
        <f>VLOOKUP(L464,照明器具一覧!$B$4:$F$155,5,FALSE)</f>
        <v>15</v>
      </c>
      <c r="N464" s="7">
        <v>1</v>
      </c>
      <c r="O464" s="82">
        <f t="shared" si="15"/>
        <v>4.6349999999999998</v>
      </c>
    </row>
    <row r="465" spans="1:15">
      <c r="A465" s="7" t="s">
        <v>1006</v>
      </c>
      <c r="B465" s="6" t="s">
        <v>532</v>
      </c>
      <c r="C465" s="74" t="s">
        <v>45</v>
      </c>
      <c r="D465" s="75" t="s">
        <v>195</v>
      </c>
      <c r="E465" s="7" t="s">
        <v>1098</v>
      </c>
      <c r="F465" s="76" t="s">
        <v>87</v>
      </c>
      <c r="G465" s="72" t="s">
        <v>104</v>
      </c>
      <c r="H465" s="34">
        <v>1</v>
      </c>
      <c r="I465" s="71" t="s">
        <v>367</v>
      </c>
      <c r="J465" s="32">
        <v>2</v>
      </c>
      <c r="K465" s="33">
        <f>VLOOKUP(E465,照明設備稼働時間!$A$4:$F$72,5,FALSE)</f>
        <v>1854</v>
      </c>
      <c r="L465" s="33" t="str">
        <f t="shared" si="14"/>
        <v>FDL18EX-N1ダウンライト　φ150</v>
      </c>
      <c r="M465" s="33">
        <f>VLOOKUP(L465,照明器具一覧!$B$4:$F$155,5,FALSE)</f>
        <v>22</v>
      </c>
      <c r="N465" s="7">
        <v>1</v>
      </c>
      <c r="O465" s="82">
        <f t="shared" si="15"/>
        <v>81.575999999999993</v>
      </c>
    </row>
    <row r="466" spans="1:15">
      <c r="A466" s="7" t="s">
        <v>1007</v>
      </c>
      <c r="B466" s="6" t="s">
        <v>532</v>
      </c>
      <c r="C466" s="74" t="s">
        <v>50</v>
      </c>
      <c r="D466" s="75" t="s">
        <v>195</v>
      </c>
      <c r="E466" s="7" t="s">
        <v>1098</v>
      </c>
      <c r="F466" s="76" t="s">
        <v>87</v>
      </c>
      <c r="G466" s="72" t="s">
        <v>38</v>
      </c>
      <c r="H466" s="34">
        <v>1</v>
      </c>
      <c r="I466" s="71" t="s">
        <v>371</v>
      </c>
      <c r="J466" s="32">
        <v>2</v>
      </c>
      <c r="K466" s="33">
        <f>VLOOKUP(E466,照明設備稼働時間!$A$4:$F$72,5,FALSE)</f>
        <v>1854</v>
      </c>
      <c r="L466" s="33" t="str">
        <f t="shared" si="14"/>
        <v>FL40W1埋込W220</v>
      </c>
      <c r="M466" s="33">
        <f>VLOOKUP(L466,照明器具一覧!$B$4:$F$155,5,FALSE)</f>
        <v>47</v>
      </c>
      <c r="N466" s="7">
        <v>1</v>
      </c>
      <c r="O466" s="82">
        <f t="shared" si="15"/>
        <v>174.27600000000001</v>
      </c>
    </row>
    <row r="467" spans="1:15">
      <c r="A467" s="7" t="s">
        <v>1008</v>
      </c>
      <c r="B467" s="6" t="s">
        <v>532</v>
      </c>
      <c r="C467" s="74" t="s">
        <v>55</v>
      </c>
      <c r="D467" s="75" t="s">
        <v>195</v>
      </c>
      <c r="E467" s="7" t="s">
        <v>1098</v>
      </c>
      <c r="F467" s="76" t="s">
        <v>87</v>
      </c>
      <c r="G467" s="72" t="s">
        <v>38</v>
      </c>
      <c r="H467" s="34">
        <v>1</v>
      </c>
      <c r="I467" s="71" t="s">
        <v>357</v>
      </c>
      <c r="J467" s="32">
        <v>3</v>
      </c>
      <c r="K467" s="33">
        <f>VLOOKUP(E467,照明設備稼働時間!$A$4:$F$72,5,FALSE)</f>
        <v>1854</v>
      </c>
      <c r="L467" s="33" t="str">
        <f t="shared" si="14"/>
        <v>FL40W1トラフ</v>
      </c>
      <c r="M467" s="33">
        <f>VLOOKUP(L467,照明器具一覧!$B$4:$F$155,5,FALSE)</f>
        <v>47</v>
      </c>
      <c r="N467" s="7">
        <v>1</v>
      </c>
      <c r="O467" s="82">
        <f t="shared" si="15"/>
        <v>261.41399999999999</v>
      </c>
    </row>
    <row r="468" spans="1:15">
      <c r="A468" s="7" t="s">
        <v>1009</v>
      </c>
      <c r="B468" s="6" t="s">
        <v>532</v>
      </c>
      <c r="C468" s="74" t="s">
        <v>53</v>
      </c>
      <c r="D468" s="75" t="s">
        <v>195</v>
      </c>
      <c r="E468" s="7" t="s">
        <v>1099</v>
      </c>
      <c r="F468" s="76" t="s">
        <v>77</v>
      </c>
      <c r="G468" s="72" t="s">
        <v>284</v>
      </c>
      <c r="H468" s="34">
        <v>1</v>
      </c>
      <c r="I468" s="71" t="s">
        <v>396</v>
      </c>
      <c r="J468" s="32">
        <v>1</v>
      </c>
      <c r="K468" s="33">
        <f>VLOOKUP(E468,照明設備稼働時間!$A$4:$F$72,5,FALSE)</f>
        <v>1854</v>
      </c>
      <c r="L468" s="33" t="str">
        <f t="shared" si="14"/>
        <v>IL40W1直付白熱灯</v>
      </c>
      <c r="M468" s="33">
        <f>VLOOKUP(L468,照明器具一覧!$B$4:$F$155,5,FALSE)</f>
        <v>40</v>
      </c>
      <c r="N468" s="7">
        <v>0.56000000000000005</v>
      </c>
      <c r="O468" s="82">
        <f t="shared" si="15"/>
        <v>41.529600000000009</v>
      </c>
    </row>
    <row r="469" spans="1:15">
      <c r="A469" s="7" t="s">
        <v>1010</v>
      </c>
      <c r="B469" s="6" t="s">
        <v>532</v>
      </c>
      <c r="C469" s="74" t="s">
        <v>68</v>
      </c>
      <c r="D469" s="75" t="s">
        <v>195</v>
      </c>
      <c r="E469" s="7" t="s">
        <v>1099</v>
      </c>
      <c r="F469" s="76" t="s">
        <v>77</v>
      </c>
      <c r="G469" s="72" t="s">
        <v>39</v>
      </c>
      <c r="H469" s="34">
        <v>2</v>
      </c>
      <c r="I469" s="71" t="s">
        <v>393</v>
      </c>
      <c r="J469" s="32">
        <v>1</v>
      </c>
      <c r="K469" s="33">
        <f>VLOOKUP(E469,照明設備稼働時間!$A$4:$F$72,5,FALSE)</f>
        <v>1854</v>
      </c>
      <c r="L469" s="33" t="str">
        <f t="shared" si="14"/>
        <v>FL40SW ＋PIL100V40WS35E172埋込W300　非常照明　電源別置</v>
      </c>
      <c r="M469" s="33">
        <f>VLOOKUP(L469,照明器具一覧!$B$4:$F$155,5,FALSE)</f>
        <v>94</v>
      </c>
      <c r="N469" s="7">
        <v>1</v>
      </c>
      <c r="O469" s="82">
        <f t="shared" si="15"/>
        <v>174.27600000000001</v>
      </c>
    </row>
    <row r="470" spans="1:15">
      <c r="A470" s="7" t="s">
        <v>1011</v>
      </c>
      <c r="B470" s="6" t="s">
        <v>532</v>
      </c>
      <c r="C470" s="74"/>
      <c r="D470" s="75" t="s">
        <v>195</v>
      </c>
      <c r="E470" s="7" t="s">
        <v>1099</v>
      </c>
      <c r="F470" s="76" t="s">
        <v>77</v>
      </c>
      <c r="G470" s="72" t="s">
        <v>194</v>
      </c>
      <c r="H470" s="34">
        <v>1</v>
      </c>
      <c r="I470" s="71" t="s">
        <v>412</v>
      </c>
      <c r="J470" s="32">
        <v>1</v>
      </c>
      <c r="K470" s="33">
        <f>VLOOKUP(E470,照明設備稼働時間!$A$4:$F$72,5,FALSE)</f>
        <v>1854</v>
      </c>
      <c r="L470" s="33" t="str">
        <f t="shared" si="14"/>
        <v>FL15W1ミラー灯</v>
      </c>
      <c r="M470" s="33">
        <f>VLOOKUP(L470,照明器具一覧!$B$4:$F$155,5,FALSE)</f>
        <v>15</v>
      </c>
      <c r="N470" s="7">
        <v>1</v>
      </c>
      <c r="O470" s="82">
        <f t="shared" si="15"/>
        <v>27.81</v>
      </c>
    </row>
    <row r="471" spans="1:15">
      <c r="A471" s="7" t="s">
        <v>1012</v>
      </c>
      <c r="B471" s="6" t="s">
        <v>532</v>
      </c>
      <c r="C471" s="74" t="s">
        <v>27</v>
      </c>
      <c r="D471" s="75" t="s">
        <v>195</v>
      </c>
      <c r="E471" s="7" t="s">
        <v>509</v>
      </c>
      <c r="F471" s="76" t="s">
        <v>36</v>
      </c>
      <c r="G471" s="72" t="s">
        <v>41</v>
      </c>
      <c r="H471" s="34">
        <v>2</v>
      </c>
      <c r="I471" s="71" t="s">
        <v>360</v>
      </c>
      <c r="J471" s="32">
        <v>6</v>
      </c>
      <c r="K471" s="33">
        <f>VLOOKUP(E471,照明設備稼働時間!$A$4:$F$72,5,FALSE)</f>
        <v>4172</v>
      </c>
      <c r="L471" s="33" t="str">
        <f t="shared" si="14"/>
        <v>FPL28EXN 2埋込　スクエア□350</v>
      </c>
      <c r="M471" s="33">
        <f>VLOOKUP(L471,照明器具一覧!$B$4:$F$155,5,FALSE)</f>
        <v>33</v>
      </c>
      <c r="N471" s="7">
        <v>0.5</v>
      </c>
      <c r="O471" s="82">
        <f t="shared" si="15"/>
        <v>413.02800000000002</v>
      </c>
    </row>
    <row r="472" spans="1:15">
      <c r="A472" s="7" t="s">
        <v>1013</v>
      </c>
      <c r="B472" s="6" t="s">
        <v>533</v>
      </c>
      <c r="C472" s="74" t="s">
        <v>28</v>
      </c>
      <c r="D472" s="75" t="s">
        <v>195</v>
      </c>
      <c r="E472" s="7" t="s">
        <v>509</v>
      </c>
      <c r="F472" s="76" t="s">
        <v>37</v>
      </c>
      <c r="G472" s="72" t="s">
        <v>328</v>
      </c>
      <c r="H472" s="34">
        <v>1</v>
      </c>
      <c r="I472" s="71" t="s">
        <v>318</v>
      </c>
      <c r="J472" s="32">
        <v>1</v>
      </c>
      <c r="K472" s="33">
        <f>VLOOKUP(E472,照明設備稼働時間!$A$4:$F$72,5,FALSE)</f>
        <v>4172</v>
      </c>
      <c r="L472" s="33" t="str">
        <f t="shared" si="14"/>
        <v>LED1直付　非常照明付　電池内蔵</v>
      </c>
      <c r="M472" s="33">
        <f>VLOOKUP(L472,照明器具一覧!$B$4:$F$155,5,FALSE)</f>
        <v>20</v>
      </c>
      <c r="N472" s="7">
        <v>1</v>
      </c>
      <c r="O472" s="82">
        <f t="shared" si="15"/>
        <v>83.44</v>
      </c>
    </row>
    <row r="473" spans="1:15">
      <c r="A473" s="7" t="s">
        <v>1014</v>
      </c>
      <c r="B473" s="6" t="s">
        <v>532</v>
      </c>
      <c r="C473" s="74" t="s">
        <v>53</v>
      </c>
      <c r="D473" s="75" t="s">
        <v>195</v>
      </c>
      <c r="E473" s="7" t="s">
        <v>516</v>
      </c>
      <c r="F473" s="76" t="s">
        <v>269</v>
      </c>
      <c r="G473" s="72" t="s">
        <v>284</v>
      </c>
      <c r="H473" s="34">
        <v>1</v>
      </c>
      <c r="I473" s="71" t="s">
        <v>396</v>
      </c>
      <c r="J473" s="32">
        <v>1</v>
      </c>
      <c r="K473" s="33">
        <f>VLOOKUP(E473,照明設備稼働時間!$A$4:$F$72,5,FALSE)</f>
        <v>0</v>
      </c>
      <c r="L473" s="33" t="str">
        <f t="shared" si="14"/>
        <v>IL40W1直付白熱灯</v>
      </c>
      <c r="M473" s="33">
        <f>VLOOKUP(L473,照明器具一覧!$B$4:$F$155,5,FALSE)</f>
        <v>40</v>
      </c>
      <c r="N473" s="7">
        <v>1</v>
      </c>
      <c r="O473" s="82">
        <f t="shared" si="15"/>
        <v>0</v>
      </c>
    </row>
    <row r="474" spans="1:15">
      <c r="A474" s="7" t="s">
        <v>1015</v>
      </c>
      <c r="B474" s="6" t="s">
        <v>532</v>
      </c>
      <c r="C474" s="74" t="s">
        <v>208</v>
      </c>
      <c r="D474" s="75" t="s">
        <v>195</v>
      </c>
      <c r="E474" s="7" t="s">
        <v>516</v>
      </c>
      <c r="F474" s="76" t="s">
        <v>344</v>
      </c>
      <c r="G474" s="72" t="s">
        <v>40</v>
      </c>
      <c r="H474" s="34">
        <v>1</v>
      </c>
      <c r="I474" s="71" t="s">
        <v>373</v>
      </c>
      <c r="J474" s="32">
        <v>1</v>
      </c>
      <c r="K474" s="33">
        <f>VLOOKUP(E474,照明設備稼働時間!$A$4:$F$72,5,FALSE)</f>
        <v>0</v>
      </c>
      <c r="L474" s="33" t="str">
        <f t="shared" si="14"/>
        <v>FL20W1片反射</v>
      </c>
      <c r="M474" s="33">
        <f>VLOOKUP(L474,照明器具一覧!$B$4:$F$155,5,FALSE)</f>
        <v>22</v>
      </c>
      <c r="N474" s="7">
        <v>1</v>
      </c>
      <c r="O474" s="82">
        <f t="shared" si="15"/>
        <v>0</v>
      </c>
    </row>
    <row r="475" spans="1:15">
      <c r="A475" s="7" t="s">
        <v>1016</v>
      </c>
      <c r="B475" s="6" t="s">
        <v>532</v>
      </c>
      <c r="C475" s="74" t="s">
        <v>152</v>
      </c>
      <c r="D475" s="75" t="s">
        <v>195</v>
      </c>
      <c r="E475" s="7" t="s">
        <v>509</v>
      </c>
      <c r="F475" s="76" t="s">
        <v>173</v>
      </c>
      <c r="G475" s="72" t="s">
        <v>104</v>
      </c>
      <c r="H475" s="34">
        <v>1</v>
      </c>
      <c r="I475" s="71" t="s">
        <v>367</v>
      </c>
      <c r="J475" s="32">
        <v>1</v>
      </c>
      <c r="K475" s="33">
        <f>VLOOKUP(E475,照明設備稼働時間!$A$4:$F$72,5,FALSE)</f>
        <v>4172</v>
      </c>
      <c r="L475" s="33" t="str">
        <f t="shared" si="14"/>
        <v>FDL18EX-N1ダウンライト　φ150</v>
      </c>
      <c r="M475" s="33">
        <f>VLOOKUP(L475,照明器具一覧!$B$4:$F$155,5,FALSE)</f>
        <v>22</v>
      </c>
      <c r="N475" s="7">
        <v>1</v>
      </c>
      <c r="O475" s="82">
        <f t="shared" si="15"/>
        <v>91.784000000000006</v>
      </c>
    </row>
    <row r="476" spans="1:15">
      <c r="A476" s="7" t="s">
        <v>1017</v>
      </c>
      <c r="B476" s="6" t="s">
        <v>532</v>
      </c>
      <c r="C476" s="74" t="s">
        <v>27</v>
      </c>
      <c r="D476" s="75" t="s">
        <v>195</v>
      </c>
      <c r="E476" s="7" t="s">
        <v>509</v>
      </c>
      <c r="F476" s="76" t="s">
        <v>173</v>
      </c>
      <c r="G476" s="72" t="s">
        <v>210</v>
      </c>
      <c r="H476" s="34">
        <v>2</v>
      </c>
      <c r="I476" s="71" t="s">
        <v>428</v>
      </c>
      <c r="J476" s="32">
        <v>3</v>
      </c>
      <c r="K476" s="33">
        <f>VLOOKUP(E476,照明設備稼働時間!$A$4:$F$72,5,FALSE)</f>
        <v>4172</v>
      </c>
      <c r="L476" s="33" t="str">
        <f t="shared" si="14"/>
        <v>FPL36W2埋込　スクエア外寸□490</v>
      </c>
      <c r="M476" s="33">
        <f>VLOOKUP(L476,照明器具一覧!$B$4:$F$155,5,FALSE)</f>
        <v>62</v>
      </c>
      <c r="N476" s="7">
        <v>1</v>
      </c>
      <c r="O476" s="82">
        <f t="shared" si="15"/>
        <v>775.99199999999996</v>
      </c>
    </row>
    <row r="477" spans="1:15">
      <c r="A477" s="7" t="s">
        <v>1018</v>
      </c>
      <c r="B477" s="6" t="s">
        <v>532</v>
      </c>
      <c r="C477" s="74" t="s">
        <v>242</v>
      </c>
      <c r="D477" s="75" t="s">
        <v>195</v>
      </c>
      <c r="E477" s="7" t="s">
        <v>9</v>
      </c>
      <c r="F477" s="76" t="s">
        <v>196</v>
      </c>
      <c r="G477" s="72" t="s">
        <v>38</v>
      </c>
      <c r="H477" s="34">
        <v>2</v>
      </c>
      <c r="I477" s="71" t="s">
        <v>353</v>
      </c>
      <c r="J477" s="32">
        <v>1</v>
      </c>
      <c r="K477" s="33">
        <f>VLOOKUP(E477,照明設備稼働時間!$A$4:$F$72,5,FALSE)</f>
        <v>8760</v>
      </c>
      <c r="L477" s="33" t="str">
        <f t="shared" si="14"/>
        <v>FL40W2通路誘導灯　音声＋点滅</v>
      </c>
      <c r="M477" s="33">
        <f>VLOOKUP(L477,照明器具一覧!$B$4:$F$155,5,FALSE)</f>
        <v>88</v>
      </c>
      <c r="N477" s="7">
        <v>1</v>
      </c>
      <c r="O477" s="82">
        <f t="shared" si="15"/>
        <v>770.88</v>
      </c>
    </row>
    <row r="478" spans="1:15">
      <c r="A478" s="7" t="s">
        <v>1019</v>
      </c>
      <c r="B478" s="6" t="s">
        <v>532</v>
      </c>
      <c r="C478" s="74" t="s">
        <v>243</v>
      </c>
      <c r="D478" s="75" t="s">
        <v>195</v>
      </c>
      <c r="E478" s="7" t="s">
        <v>9</v>
      </c>
      <c r="F478" s="76" t="s">
        <v>196</v>
      </c>
      <c r="G478" s="72" t="s">
        <v>40</v>
      </c>
      <c r="H478" s="34">
        <v>1</v>
      </c>
      <c r="I478" s="71" t="s">
        <v>353</v>
      </c>
      <c r="J478" s="32">
        <v>1</v>
      </c>
      <c r="K478" s="33">
        <f>VLOOKUP(E478,照明設備稼働時間!$A$4:$F$72,5,FALSE)</f>
        <v>8760</v>
      </c>
      <c r="L478" s="33" t="str">
        <f t="shared" si="14"/>
        <v>FL20W1通路誘導灯　音声＋点滅</v>
      </c>
      <c r="M478" s="33">
        <f>VLOOKUP(L478,照明器具一覧!$B$4:$F$155,5,FALSE)</f>
        <v>22</v>
      </c>
      <c r="N478" s="7">
        <v>1</v>
      </c>
      <c r="O478" s="82">
        <f t="shared" si="15"/>
        <v>192.72</v>
      </c>
    </row>
    <row r="479" spans="1:15">
      <c r="A479" s="7" t="s">
        <v>1020</v>
      </c>
      <c r="B479" s="6" t="s">
        <v>532</v>
      </c>
      <c r="C479" s="74" t="s">
        <v>241</v>
      </c>
      <c r="D479" s="75" t="s">
        <v>195</v>
      </c>
      <c r="E479" s="7" t="s">
        <v>9</v>
      </c>
      <c r="F479" s="76" t="s">
        <v>240</v>
      </c>
      <c r="G479" s="72" t="s">
        <v>40</v>
      </c>
      <c r="H479" s="34">
        <v>1</v>
      </c>
      <c r="I479" s="71" t="s">
        <v>320</v>
      </c>
      <c r="J479" s="32">
        <v>2</v>
      </c>
      <c r="K479" s="33">
        <f>VLOOKUP(E479,照明設備稼働時間!$A$4:$F$72,5,FALSE)</f>
        <v>8760</v>
      </c>
      <c r="L479" s="33" t="str">
        <f t="shared" si="14"/>
        <v>FL20W1避難口誘導灯</v>
      </c>
      <c r="M479" s="33">
        <f>VLOOKUP(L479,照明器具一覧!$B$4:$F$155,5,FALSE)</f>
        <v>22</v>
      </c>
      <c r="N479" s="7">
        <v>1</v>
      </c>
      <c r="O479" s="82">
        <f t="shared" si="15"/>
        <v>385.44</v>
      </c>
    </row>
    <row r="480" spans="1:15">
      <c r="A480" s="7" t="s">
        <v>1021</v>
      </c>
      <c r="B480" s="6" t="s">
        <v>532</v>
      </c>
      <c r="C480" s="74" t="s">
        <v>243</v>
      </c>
      <c r="D480" s="75" t="s">
        <v>195</v>
      </c>
      <c r="E480" s="7" t="s">
        <v>9</v>
      </c>
      <c r="F480" s="76" t="s">
        <v>244</v>
      </c>
      <c r="G480" s="72" t="s">
        <v>40</v>
      </c>
      <c r="H480" s="34">
        <v>1</v>
      </c>
      <c r="I480" s="71" t="s">
        <v>354</v>
      </c>
      <c r="J480" s="32">
        <v>1</v>
      </c>
      <c r="K480" s="33">
        <f>VLOOKUP(E480,照明設備稼働時間!$A$4:$F$72,5,FALSE)</f>
        <v>8760</v>
      </c>
      <c r="L480" s="33" t="str">
        <f t="shared" si="14"/>
        <v>FL20W1通路誘導灯</v>
      </c>
      <c r="M480" s="33">
        <f>VLOOKUP(L480,照明器具一覧!$B$4:$F$155,5,FALSE)</f>
        <v>22</v>
      </c>
      <c r="N480" s="7">
        <v>1</v>
      </c>
      <c r="O480" s="82">
        <f t="shared" si="15"/>
        <v>192.72</v>
      </c>
    </row>
    <row r="481" spans="1:15">
      <c r="A481" s="7" t="s">
        <v>1022</v>
      </c>
      <c r="B481" s="6" t="s">
        <v>532</v>
      </c>
      <c r="C481" s="74" t="s">
        <v>247</v>
      </c>
      <c r="D481" s="75" t="s">
        <v>195</v>
      </c>
      <c r="E481" s="7" t="s">
        <v>9</v>
      </c>
      <c r="F481" s="76" t="s">
        <v>245</v>
      </c>
      <c r="G481" s="72" t="s">
        <v>38</v>
      </c>
      <c r="H481" s="34">
        <v>2</v>
      </c>
      <c r="I481" s="71" t="s">
        <v>352</v>
      </c>
      <c r="J481" s="32">
        <v>1</v>
      </c>
      <c r="K481" s="33">
        <f>VLOOKUP(E481,照明設備稼働時間!$A$4:$F$72,5,FALSE)</f>
        <v>8760</v>
      </c>
      <c r="L481" s="33" t="str">
        <f t="shared" si="14"/>
        <v>FL40W2避難口誘導灯　音声＋点滅</v>
      </c>
      <c r="M481" s="33">
        <f>VLOOKUP(L481,照明器具一覧!$B$4:$F$155,5,FALSE)</f>
        <v>94</v>
      </c>
      <c r="N481" s="7">
        <v>1</v>
      </c>
      <c r="O481" s="82">
        <f t="shared" si="15"/>
        <v>823.44</v>
      </c>
    </row>
    <row r="482" spans="1:15">
      <c r="A482" s="7" t="s">
        <v>1023</v>
      </c>
      <c r="B482" s="6" t="s">
        <v>532</v>
      </c>
      <c r="C482" s="77" t="s">
        <v>248</v>
      </c>
      <c r="D482" s="75" t="s">
        <v>195</v>
      </c>
      <c r="E482" s="7" t="s">
        <v>9</v>
      </c>
      <c r="F482" s="76" t="s">
        <v>246</v>
      </c>
      <c r="G482" s="72" t="s">
        <v>249</v>
      </c>
      <c r="H482" s="34">
        <v>1</v>
      </c>
      <c r="I482" s="71" t="s">
        <v>326</v>
      </c>
      <c r="J482" s="32">
        <v>1</v>
      </c>
      <c r="K482" s="33">
        <f>VLOOKUP(E482,照明設備稼働時間!$A$4:$F$72,5,FALSE)</f>
        <v>8760</v>
      </c>
      <c r="L482" s="33" t="str">
        <f t="shared" si="14"/>
        <v>FL10W1避難表示灯</v>
      </c>
      <c r="M482" s="33">
        <f>VLOOKUP(L482,照明器具一覧!$B$4:$F$155,5,FALSE)</f>
        <v>11</v>
      </c>
      <c r="N482" s="7">
        <v>1</v>
      </c>
      <c r="O482" s="82">
        <f t="shared" si="15"/>
        <v>96.36</v>
      </c>
    </row>
    <row r="483" spans="1:15">
      <c r="A483" s="7" t="s">
        <v>1024</v>
      </c>
      <c r="B483" s="6" t="s">
        <v>532</v>
      </c>
      <c r="C483" s="74" t="s">
        <v>26</v>
      </c>
      <c r="D483" s="75" t="s">
        <v>195</v>
      </c>
      <c r="E483" s="7" t="s">
        <v>515</v>
      </c>
      <c r="F483" s="76" t="s">
        <v>196</v>
      </c>
      <c r="G483" s="72" t="s">
        <v>284</v>
      </c>
      <c r="H483" s="34">
        <v>1</v>
      </c>
      <c r="I483" s="71" t="s">
        <v>237</v>
      </c>
      <c r="J483" s="32">
        <v>5</v>
      </c>
      <c r="K483" s="33">
        <f>VLOOKUP(E483,照明設備稼働時間!$A$4:$F$72,5,FALSE)</f>
        <v>0</v>
      </c>
      <c r="L483" s="33" t="str">
        <f t="shared" si="14"/>
        <v>IL40W1非常灯　電源別置　φ100</v>
      </c>
      <c r="M483" s="33">
        <f>VLOOKUP(L483,照明器具一覧!$B$4:$F$155,5,FALSE)</f>
        <v>40</v>
      </c>
      <c r="N483" s="7">
        <v>1</v>
      </c>
      <c r="O483" s="82">
        <f t="shared" si="15"/>
        <v>0</v>
      </c>
    </row>
    <row r="484" spans="1:15">
      <c r="A484" s="7" t="s">
        <v>1025</v>
      </c>
      <c r="B484" s="6" t="s">
        <v>532</v>
      </c>
      <c r="C484" s="74" t="s">
        <v>26</v>
      </c>
      <c r="D484" s="75" t="s">
        <v>195</v>
      </c>
      <c r="E484" s="7" t="s">
        <v>515</v>
      </c>
      <c r="F484" s="76" t="s">
        <v>36</v>
      </c>
      <c r="G484" s="72" t="s">
        <v>284</v>
      </c>
      <c r="H484" s="34">
        <v>1</v>
      </c>
      <c r="I484" s="71" t="s">
        <v>237</v>
      </c>
      <c r="J484" s="32">
        <v>2</v>
      </c>
      <c r="K484" s="33">
        <f>VLOOKUP(E484,照明設備稼働時間!$A$4:$F$72,5,FALSE)</f>
        <v>0</v>
      </c>
      <c r="L484" s="33" t="str">
        <f t="shared" si="14"/>
        <v>IL40W1非常灯　電源別置　φ100</v>
      </c>
      <c r="M484" s="33">
        <f>VLOOKUP(L484,照明器具一覧!$B$4:$F$155,5,FALSE)</f>
        <v>40</v>
      </c>
      <c r="N484" s="7">
        <v>1</v>
      </c>
      <c r="O484" s="82">
        <f t="shared" si="15"/>
        <v>0</v>
      </c>
    </row>
    <row r="485" spans="1:15">
      <c r="A485" s="7" t="s">
        <v>1026</v>
      </c>
      <c r="B485" s="6" t="s">
        <v>532</v>
      </c>
      <c r="C485" s="74" t="s">
        <v>26</v>
      </c>
      <c r="D485" s="75" t="s">
        <v>195</v>
      </c>
      <c r="E485" s="7" t="s">
        <v>515</v>
      </c>
      <c r="F485" s="76" t="s">
        <v>88</v>
      </c>
      <c r="G485" s="72" t="s">
        <v>284</v>
      </c>
      <c r="H485" s="34">
        <v>1</v>
      </c>
      <c r="I485" s="71" t="s">
        <v>237</v>
      </c>
      <c r="J485" s="32">
        <v>1</v>
      </c>
      <c r="K485" s="33">
        <f>VLOOKUP(E485,照明設備稼働時間!$A$4:$F$72,5,FALSE)</f>
        <v>0</v>
      </c>
      <c r="L485" s="33" t="str">
        <f t="shared" si="14"/>
        <v>IL40W1非常灯　電源別置　φ100</v>
      </c>
      <c r="M485" s="33">
        <f>VLOOKUP(L485,照明器具一覧!$B$4:$F$155,5,FALSE)</f>
        <v>40</v>
      </c>
      <c r="N485" s="7">
        <v>1</v>
      </c>
      <c r="O485" s="82">
        <f t="shared" si="15"/>
        <v>0</v>
      </c>
    </row>
    <row r="486" spans="1:15">
      <c r="A486" s="7" t="s">
        <v>1027</v>
      </c>
      <c r="B486" s="6" t="s">
        <v>532</v>
      </c>
      <c r="C486" s="74" t="s">
        <v>26</v>
      </c>
      <c r="D486" s="75" t="s">
        <v>195</v>
      </c>
      <c r="E486" s="7" t="s">
        <v>515</v>
      </c>
      <c r="F486" s="76" t="s">
        <v>203</v>
      </c>
      <c r="G486" s="72" t="s">
        <v>284</v>
      </c>
      <c r="H486" s="34">
        <v>1</v>
      </c>
      <c r="I486" s="71" t="s">
        <v>237</v>
      </c>
      <c r="J486" s="32">
        <v>1</v>
      </c>
      <c r="K486" s="33">
        <f>VLOOKUP(E486,照明設備稼働時間!$A$4:$F$72,5,FALSE)</f>
        <v>0</v>
      </c>
      <c r="L486" s="33" t="str">
        <f t="shared" si="14"/>
        <v>IL40W1非常灯　電源別置　φ100</v>
      </c>
      <c r="M486" s="33">
        <f>VLOOKUP(L486,照明器具一覧!$B$4:$F$155,5,FALSE)</f>
        <v>40</v>
      </c>
      <c r="N486" s="7">
        <v>1</v>
      </c>
      <c r="O486" s="82">
        <f t="shared" si="15"/>
        <v>0</v>
      </c>
    </row>
    <row r="487" spans="1:15">
      <c r="A487" s="7" t="s">
        <v>1028</v>
      </c>
      <c r="B487" s="6" t="s">
        <v>532</v>
      </c>
      <c r="C487" s="74" t="s">
        <v>26</v>
      </c>
      <c r="D487" s="75" t="s">
        <v>195</v>
      </c>
      <c r="E487" s="7" t="s">
        <v>515</v>
      </c>
      <c r="F487" s="76" t="s">
        <v>355</v>
      </c>
      <c r="G487" s="72" t="s">
        <v>284</v>
      </c>
      <c r="H487" s="34">
        <v>1</v>
      </c>
      <c r="I487" s="71" t="s">
        <v>237</v>
      </c>
      <c r="J487" s="32">
        <v>1</v>
      </c>
      <c r="K487" s="33">
        <f>VLOOKUP(E487,照明設備稼働時間!$A$4:$F$72,5,FALSE)</f>
        <v>0</v>
      </c>
      <c r="L487" s="33" t="str">
        <f t="shared" si="14"/>
        <v>IL40W1非常灯　電源別置　φ100</v>
      </c>
      <c r="M487" s="33">
        <f>VLOOKUP(L487,照明器具一覧!$B$4:$F$155,5,FALSE)</f>
        <v>40</v>
      </c>
      <c r="N487" s="7">
        <v>1</v>
      </c>
      <c r="O487" s="82">
        <f t="shared" si="15"/>
        <v>0</v>
      </c>
    </row>
    <row r="488" spans="1:15">
      <c r="A488" s="7" t="s">
        <v>1029</v>
      </c>
      <c r="B488" s="6" t="s">
        <v>532</v>
      </c>
      <c r="C488" s="74" t="s">
        <v>26</v>
      </c>
      <c r="D488" s="75" t="s">
        <v>195</v>
      </c>
      <c r="E488" s="7" t="s">
        <v>515</v>
      </c>
      <c r="F488" s="76" t="s">
        <v>87</v>
      </c>
      <c r="G488" s="72" t="s">
        <v>284</v>
      </c>
      <c r="H488" s="34">
        <v>1</v>
      </c>
      <c r="I488" s="71" t="s">
        <v>237</v>
      </c>
      <c r="J488" s="32">
        <v>1</v>
      </c>
      <c r="K488" s="33">
        <f>VLOOKUP(E488,照明設備稼働時間!$A$4:$F$72,5,FALSE)</f>
        <v>0</v>
      </c>
      <c r="L488" s="33" t="str">
        <f t="shared" si="14"/>
        <v>IL40W1非常灯　電源別置　φ100</v>
      </c>
      <c r="M488" s="33">
        <f>VLOOKUP(L488,照明器具一覧!$B$4:$F$155,5,FALSE)</f>
        <v>40</v>
      </c>
      <c r="N488" s="7">
        <v>1</v>
      </c>
      <c r="O488" s="82">
        <f t="shared" si="15"/>
        <v>0</v>
      </c>
    </row>
    <row r="489" spans="1:15">
      <c r="A489" s="7" t="s">
        <v>1030</v>
      </c>
      <c r="B489" s="6" t="s">
        <v>532</v>
      </c>
      <c r="C489" s="74" t="s">
        <v>26</v>
      </c>
      <c r="D489" s="75" t="s">
        <v>195</v>
      </c>
      <c r="E489" s="7" t="s">
        <v>515</v>
      </c>
      <c r="F489" s="76" t="s">
        <v>36</v>
      </c>
      <c r="G489" s="72" t="s">
        <v>284</v>
      </c>
      <c r="H489" s="34">
        <v>1</v>
      </c>
      <c r="I489" s="71" t="s">
        <v>237</v>
      </c>
      <c r="J489" s="32">
        <v>4</v>
      </c>
      <c r="K489" s="33">
        <f>VLOOKUP(E489,照明設備稼働時間!$A$4:$F$72,5,FALSE)</f>
        <v>0</v>
      </c>
      <c r="L489" s="33" t="str">
        <f t="shared" si="14"/>
        <v>IL40W1非常灯　電源別置　φ100</v>
      </c>
      <c r="M489" s="33">
        <f>VLOOKUP(L489,照明器具一覧!$B$4:$F$155,5,FALSE)</f>
        <v>40</v>
      </c>
      <c r="N489" s="7">
        <v>1</v>
      </c>
      <c r="O489" s="82">
        <f t="shared" si="15"/>
        <v>0</v>
      </c>
    </row>
    <row r="490" spans="1:15">
      <c r="A490" s="7" t="s">
        <v>1031</v>
      </c>
      <c r="B490" s="6" t="s">
        <v>532</v>
      </c>
      <c r="C490" s="74" t="s">
        <v>52</v>
      </c>
      <c r="D490" s="75" t="s">
        <v>195</v>
      </c>
      <c r="E490" s="7" t="s">
        <v>509</v>
      </c>
      <c r="F490" s="76" t="s">
        <v>37</v>
      </c>
      <c r="G490" s="72" t="s">
        <v>105</v>
      </c>
      <c r="H490" s="34">
        <v>1</v>
      </c>
      <c r="I490" s="71" t="s">
        <v>250</v>
      </c>
      <c r="J490" s="32">
        <v>1</v>
      </c>
      <c r="K490" s="33">
        <f>VLOOKUP(E490,照明設備稼働時間!$A$4:$F$72,5,FALSE)</f>
        <v>4172</v>
      </c>
      <c r="L490" s="33" t="str">
        <f t="shared" si="14"/>
        <v>FLR40W1階段灯　非常灯兼用　電池内蔵</v>
      </c>
      <c r="M490" s="33">
        <f>VLOOKUP(L490,照明器具一覧!$B$4:$F$155,5,FALSE)</f>
        <v>44</v>
      </c>
      <c r="N490" s="7">
        <v>1</v>
      </c>
      <c r="O490" s="82">
        <f t="shared" si="15"/>
        <v>183.56800000000001</v>
      </c>
    </row>
    <row r="491" spans="1:15">
      <c r="A491" s="7" t="s">
        <v>1032</v>
      </c>
      <c r="B491" s="6" t="s">
        <v>532</v>
      </c>
      <c r="C491" s="74" t="s">
        <v>18</v>
      </c>
      <c r="D491" s="75" t="s">
        <v>211</v>
      </c>
      <c r="E491" s="7" t="s">
        <v>1100</v>
      </c>
      <c r="F491" s="76" t="s">
        <v>212</v>
      </c>
      <c r="G491" s="72" t="s">
        <v>38</v>
      </c>
      <c r="H491" s="34">
        <v>1</v>
      </c>
      <c r="I491" s="71" t="s">
        <v>373</v>
      </c>
      <c r="J491" s="32">
        <v>4</v>
      </c>
      <c r="K491" s="33">
        <f>VLOOKUP(E491,照明設備稼働時間!$A$4:$F$72,5,FALSE)</f>
        <v>618</v>
      </c>
      <c r="L491" s="33" t="str">
        <f t="shared" si="14"/>
        <v>FL40W1片反射</v>
      </c>
      <c r="M491" s="33">
        <f>VLOOKUP(L491,照明器具一覧!$B$4:$F$155,5,FALSE)</f>
        <v>47</v>
      </c>
      <c r="N491" s="7">
        <v>1</v>
      </c>
      <c r="O491" s="82">
        <f t="shared" si="15"/>
        <v>116.184</v>
      </c>
    </row>
    <row r="492" spans="1:15">
      <c r="A492" s="7" t="s">
        <v>1033</v>
      </c>
      <c r="B492" s="6" t="s">
        <v>532</v>
      </c>
      <c r="C492" s="74" t="s">
        <v>213</v>
      </c>
      <c r="D492" s="75" t="s">
        <v>211</v>
      </c>
      <c r="E492" s="7" t="s">
        <v>509</v>
      </c>
      <c r="F492" s="76" t="s">
        <v>36</v>
      </c>
      <c r="G492" s="72" t="s">
        <v>40</v>
      </c>
      <c r="H492" s="34">
        <v>2</v>
      </c>
      <c r="I492" s="71" t="s">
        <v>356</v>
      </c>
      <c r="J492" s="32">
        <v>1</v>
      </c>
      <c r="K492" s="33">
        <f>VLOOKUP(E492,照明設備稼働時間!$A$4:$F$72,5,FALSE)</f>
        <v>4172</v>
      </c>
      <c r="L492" s="33" t="str">
        <f t="shared" si="14"/>
        <v>FL20W2逆富士</v>
      </c>
      <c r="M492" s="33">
        <f>VLOOKUP(L492,照明器具一覧!$B$4:$F$155,5,FALSE)</f>
        <v>44</v>
      </c>
      <c r="N492" s="7">
        <v>1</v>
      </c>
      <c r="O492" s="82">
        <f t="shared" si="15"/>
        <v>183.56800000000001</v>
      </c>
    </row>
    <row r="493" spans="1:15">
      <c r="A493" s="7" t="s">
        <v>1035</v>
      </c>
      <c r="B493" s="6" t="s">
        <v>532</v>
      </c>
      <c r="C493" s="74" t="s">
        <v>21</v>
      </c>
      <c r="D493" s="75" t="s">
        <v>211</v>
      </c>
      <c r="E493" s="7" t="s">
        <v>1100</v>
      </c>
      <c r="F493" s="76" t="s">
        <v>129</v>
      </c>
      <c r="G493" s="72" t="s">
        <v>38</v>
      </c>
      <c r="H493" s="34">
        <v>1</v>
      </c>
      <c r="I493" s="71" t="s">
        <v>399</v>
      </c>
      <c r="J493" s="32">
        <v>6</v>
      </c>
      <c r="K493" s="33">
        <f>VLOOKUP(E493,照明設備稼働時間!$A$4:$F$72,5,FALSE)</f>
        <v>618</v>
      </c>
      <c r="L493" s="33" t="str">
        <f t="shared" si="14"/>
        <v>FL40W1笠付　パイプ吊</v>
      </c>
      <c r="M493" s="33">
        <f>VLOOKUP(L493,照明器具一覧!$B$4:$F$155,5,FALSE)</f>
        <v>47</v>
      </c>
      <c r="N493" s="7">
        <v>1</v>
      </c>
      <c r="O493" s="82">
        <f t="shared" si="15"/>
        <v>174.27600000000001</v>
      </c>
    </row>
    <row r="494" spans="1:15">
      <c r="A494" s="7" t="s">
        <v>1036</v>
      </c>
      <c r="B494" s="6" t="s">
        <v>532</v>
      </c>
      <c r="C494" s="74" t="s">
        <v>215</v>
      </c>
      <c r="D494" s="75" t="s">
        <v>211</v>
      </c>
      <c r="E494" s="7" t="s">
        <v>1123</v>
      </c>
      <c r="F494" s="76" t="s">
        <v>216</v>
      </c>
      <c r="G494" s="72" t="s">
        <v>429</v>
      </c>
      <c r="H494" s="34">
        <v>1</v>
      </c>
      <c r="I494" s="71" t="s">
        <v>430</v>
      </c>
      <c r="J494" s="32">
        <v>4</v>
      </c>
      <c r="K494" s="33">
        <f>VLOOKUP(E494,照明設備稼働時間!$A$4:$F$72,5,FALSE)</f>
        <v>2781</v>
      </c>
      <c r="L494" s="33" t="str">
        <f t="shared" si="14"/>
        <v>MF400W1高天井器具</v>
      </c>
      <c r="M494" s="33">
        <f>VLOOKUP(L494,照明器具一覧!$B$4:$F$155,5,FALSE)</f>
        <v>433</v>
      </c>
      <c r="N494" s="7">
        <v>1</v>
      </c>
      <c r="O494" s="82">
        <f t="shared" si="15"/>
        <v>4816.692</v>
      </c>
    </row>
    <row r="495" spans="1:15">
      <c r="A495" s="7" t="s">
        <v>1037</v>
      </c>
      <c r="B495" s="6" t="s">
        <v>532</v>
      </c>
      <c r="C495" s="74" t="s">
        <v>217</v>
      </c>
      <c r="D495" s="75" t="s">
        <v>211</v>
      </c>
      <c r="E495" s="7" t="s">
        <v>1123</v>
      </c>
      <c r="F495" s="76" t="s">
        <v>216</v>
      </c>
      <c r="G495" s="72" t="s">
        <v>432</v>
      </c>
      <c r="H495" s="34">
        <v>1</v>
      </c>
      <c r="I495" s="71" t="s">
        <v>431</v>
      </c>
      <c r="J495" s="32">
        <v>28</v>
      </c>
      <c r="K495" s="33">
        <f>VLOOKUP(E495,照明設備稼働時間!$A$4:$F$72,5,FALSE)</f>
        <v>2781</v>
      </c>
      <c r="L495" s="33" t="str">
        <f t="shared" si="14"/>
        <v>MF700W1高天井器具</v>
      </c>
      <c r="M495" s="33">
        <f>VLOOKUP(L495,照明器具一覧!$B$4:$F$155,5,FALSE)</f>
        <v>770</v>
      </c>
      <c r="N495" s="7">
        <v>0.75</v>
      </c>
      <c r="O495" s="82">
        <f t="shared" si="15"/>
        <v>44968.77</v>
      </c>
    </row>
    <row r="496" spans="1:15">
      <c r="A496" s="7" t="s">
        <v>1038</v>
      </c>
      <c r="B496" s="6" t="s">
        <v>533</v>
      </c>
      <c r="C496" s="74" t="s">
        <v>218</v>
      </c>
      <c r="D496" s="75" t="s">
        <v>219</v>
      </c>
      <c r="E496" s="7" t="s">
        <v>1123</v>
      </c>
      <c r="F496" s="76" t="s">
        <v>220</v>
      </c>
      <c r="G496" s="72" t="s">
        <v>228</v>
      </c>
      <c r="H496" s="34">
        <v>9</v>
      </c>
      <c r="I496" s="71" t="s">
        <v>224</v>
      </c>
      <c r="J496" s="32">
        <v>5</v>
      </c>
      <c r="K496" s="33">
        <f>VLOOKUP(E496,照明設備稼働時間!$A$4:$F$72,5,FALSE)</f>
        <v>2781</v>
      </c>
      <c r="L496" s="33" t="str">
        <f t="shared" si="14"/>
        <v>200Wx９灯9ボーダーライト</v>
      </c>
      <c r="M496" s="33">
        <f>VLOOKUP(L496,照明器具一覧!$B$4:$F$155,5,FALSE)</f>
        <v>1800</v>
      </c>
      <c r="N496" s="7">
        <v>0.04</v>
      </c>
      <c r="O496" s="82">
        <f t="shared" si="15"/>
        <v>1001.16</v>
      </c>
    </row>
    <row r="497" spans="1:15">
      <c r="A497" s="7" t="s">
        <v>1039</v>
      </c>
      <c r="B497" s="6" t="s">
        <v>533</v>
      </c>
      <c r="C497" s="74" t="s">
        <v>221</v>
      </c>
      <c r="D497" s="75" t="s">
        <v>219</v>
      </c>
      <c r="E497" s="7" t="s">
        <v>1123</v>
      </c>
      <c r="F497" s="76" t="s">
        <v>220</v>
      </c>
      <c r="G497" s="72" t="s">
        <v>229</v>
      </c>
      <c r="H497" s="34">
        <v>1</v>
      </c>
      <c r="I497" s="71" t="s">
        <v>225</v>
      </c>
      <c r="J497" s="32">
        <v>18</v>
      </c>
      <c r="K497" s="33">
        <f>VLOOKUP(E497,照明設備稼働時間!$A$4:$F$72,5,FALSE)</f>
        <v>2781</v>
      </c>
      <c r="L497" s="33" t="str">
        <f t="shared" si="14"/>
        <v>500w1サスペンションスポットライト</v>
      </c>
      <c r="M497" s="33">
        <f>VLOOKUP(L497,照明器具一覧!$B$4:$F$155,5,FALSE)</f>
        <v>500</v>
      </c>
      <c r="N497" s="7">
        <v>0.04</v>
      </c>
      <c r="O497" s="82">
        <f t="shared" si="15"/>
        <v>1001.16</v>
      </c>
    </row>
    <row r="498" spans="1:15">
      <c r="A498" s="7" t="s">
        <v>1040</v>
      </c>
      <c r="B498" s="6" t="s">
        <v>533</v>
      </c>
      <c r="C498" s="74" t="s">
        <v>222</v>
      </c>
      <c r="D498" s="75" t="s">
        <v>219</v>
      </c>
      <c r="E498" s="7" t="s">
        <v>1123</v>
      </c>
      <c r="F498" s="76" t="s">
        <v>220</v>
      </c>
      <c r="G498" s="72" t="s">
        <v>230</v>
      </c>
      <c r="H498" s="34">
        <v>1</v>
      </c>
      <c r="I498" s="71" t="s">
        <v>226</v>
      </c>
      <c r="J498" s="32">
        <v>9</v>
      </c>
      <c r="K498" s="33">
        <f>VLOOKUP(E498,照明設備稼働時間!$A$4:$F$72,5,FALSE)</f>
        <v>2781</v>
      </c>
      <c r="L498" s="33" t="str">
        <f t="shared" si="14"/>
        <v>1kw1シーリングスポットライト</v>
      </c>
      <c r="M498" s="33">
        <f>VLOOKUP(L498,照明器具一覧!$B$4:$F$155,5,FALSE)</f>
        <v>1000</v>
      </c>
      <c r="N498" s="7">
        <v>0.04</v>
      </c>
      <c r="O498" s="82">
        <f t="shared" si="15"/>
        <v>1001.16</v>
      </c>
    </row>
    <row r="499" spans="1:15">
      <c r="A499" s="7" t="s">
        <v>1034</v>
      </c>
      <c r="B499" s="6" t="s">
        <v>533</v>
      </c>
      <c r="C499" s="74" t="s">
        <v>223</v>
      </c>
      <c r="D499" s="75" t="s">
        <v>219</v>
      </c>
      <c r="E499" s="7" t="s">
        <v>1123</v>
      </c>
      <c r="F499" s="76" t="s">
        <v>220</v>
      </c>
      <c r="G499" s="72" t="s">
        <v>230</v>
      </c>
      <c r="H499" s="34">
        <v>1</v>
      </c>
      <c r="I499" s="71" t="s">
        <v>227</v>
      </c>
      <c r="J499" s="32">
        <v>1</v>
      </c>
      <c r="K499" s="33">
        <f>VLOOKUP(E499,照明設備稼働時間!$A$4:$F$72,5,FALSE)</f>
        <v>2781</v>
      </c>
      <c r="L499" s="33" t="str">
        <f t="shared" si="14"/>
        <v>1kw1フォローピンスポットライト</v>
      </c>
      <c r="M499" s="33">
        <f>VLOOKUP(L499,照明器具一覧!$B$4:$F$155,5,FALSE)</f>
        <v>1000</v>
      </c>
      <c r="N499" s="7">
        <v>0.04</v>
      </c>
      <c r="O499" s="82">
        <f t="shared" si="15"/>
        <v>111.24</v>
      </c>
    </row>
    <row r="500" spans="1:15">
      <c r="A500" s="7" t="s">
        <v>1041</v>
      </c>
      <c r="B500" s="6" t="s">
        <v>532</v>
      </c>
      <c r="C500" s="74" t="s">
        <v>52</v>
      </c>
      <c r="D500" s="75" t="s">
        <v>211</v>
      </c>
      <c r="E500" s="7" t="s">
        <v>509</v>
      </c>
      <c r="F500" s="76" t="s">
        <v>37</v>
      </c>
      <c r="G500" s="72" t="s">
        <v>105</v>
      </c>
      <c r="H500" s="34">
        <v>1</v>
      </c>
      <c r="I500" s="71" t="s">
        <v>231</v>
      </c>
      <c r="J500" s="32">
        <v>1</v>
      </c>
      <c r="K500" s="33">
        <f>VLOOKUP(E500,照明設備稼働時間!$A$4:$F$72,5,FALSE)</f>
        <v>4172</v>
      </c>
      <c r="L500" s="33" t="str">
        <f t="shared" si="14"/>
        <v>FLR40W1階段灯　電池内蔵</v>
      </c>
      <c r="M500" s="33">
        <f>VLOOKUP(L500,照明器具一覧!$B$4:$F$155,5,FALSE)</f>
        <v>44</v>
      </c>
      <c r="N500" s="7">
        <v>1</v>
      </c>
      <c r="O500" s="82">
        <f t="shared" si="15"/>
        <v>183.56800000000001</v>
      </c>
    </row>
    <row r="501" spans="1:15">
      <c r="A501" s="7" t="s">
        <v>1042</v>
      </c>
      <c r="B501" s="6" t="s">
        <v>532</v>
      </c>
      <c r="C501" s="74" t="s">
        <v>28</v>
      </c>
      <c r="D501" s="75" t="s">
        <v>211</v>
      </c>
      <c r="E501" s="7" t="s">
        <v>509</v>
      </c>
      <c r="F501" s="76" t="s">
        <v>37</v>
      </c>
      <c r="G501" s="72" t="s">
        <v>38</v>
      </c>
      <c r="H501" s="34">
        <v>2</v>
      </c>
      <c r="I501" s="71" t="s">
        <v>236</v>
      </c>
      <c r="J501" s="32">
        <v>1</v>
      </c>
      <c r="K501" s="33">
        <f>VLOOKUP(E501,照明設備稼働時間!$A$4:$F$72,5,FALSE)</f>
        <v>4172</v>
      </c>
      <c r="L501" s="33" t="str">
        <f t="shared" si="14"/>
        <v>FL40W2逆富士　電池内蔵</v>
      </c>
      <c r="M501" s="33">
        <f>VLOOKUP(L501,照明器具一覧!$B$4:$F$155,5,FALSE)</f>
        <v>94</v>
      </c>
      <c r="N501" s="7">
        <v>1</v>
      </c>
      <c r="O501" s="82">
        <f t="shared" si="15"/>
        <v>392.16800000000001</v>
      </c>
    </row>
    <row r="502" spans="1:15">
      <c r="A502" s="7" t="s">
        <v>1043</v>
      </c>
      <c r="B502" s="6" t="s">
        <v>532</v>
      </c>
      <c r="C502" s="74" t="s">
        <v>214</v>
      </c>
      <c r="D502" s="75" t="s">
        <v>211</v>
      </c>
      <c r="E502" s="7" t="s">
        <v>509</v>
      </c>
      <c r="F502" s="76" t="s">
        <v>36</v>
      </c>
      <c r="G502" s="72" t="s">
        <v>40</v>
      </c>
      <c r="H502" s="34">
        <v>2</v>
      </c>
      <c r="I502" s="71" t="s">
        <v>236</v>
      </c>
      <c r="J502" s="32">
        <v>1</v>
      </c>
      <c r="K502" s="33">
        <f>VLOOKUP(E502,照明設備稼働時間!$A$4:$F$72,5,FALSE)</f>
        <v>4172</v>
      </c>
      <c r="L502" s="33" t="str">
        <f t="shared" si="14"/>
        <v>FL20W2逆富士　電池内蔵</v>
      </c>
      <c r="M502" s="33">
        <f>VLOOKUP(L502,照明器具一覧!$B$4:$F$155,5,FALSE)</f>
        <v>44</v>
      </c>
      <c r="N502" s="7">
        <v>1</v>
      </c>
      <c r="O502" s="82">
        <f t="shared" si="15"/>
        <v>183.56800000000001</v>
      </c>
    </row>
    <row r="503" spans="1:15">
      <c r="A503" s="7" t="s">
        <v>1044</v>
      </c>
      <c r="B503" s="6" t="s">
        <v>532</v>
      </c>
      <c r="C503" s="74" t="s">
        <v>123</v>
      </c>
      <c r="D503" s="75" t="s">
        <v>211</v>
      </c>
      <c r="E503" s="7" t="s">
        <v>515</v>
      </c>
      <c r="F503" s="76" t="s">
        <v>216</v>
      </c>
      <c r="G503" s="72" t="s">
        <v>390</v>
      </c>
      <c r="H503" s="34">
        <v>1</v>
      </c>
      <c r="I503" s="71" t="s">
        <v>433</v>
      </c>
      <c r="J503" s="32">
        <v>12</v>
      </c>
      <c r="K503" s="33">
        <f>VLOOKUP(E503,照明設備稼働時間!$A$4:$F$72,5,FALSE)</f>
        <v>0</v>
      </c>
      <c r="L503" s="33" t="str">
        <f t="shared" si="14"/>
        <v>IL60W1非常灯　電源別置　φ200</v>
      </c>
      <c r="M503" s="33">
        <f>VLOOKUP(L503,照明器具一覧!$B$4:$F$155,5,FALSE)</f>
        <v>60</v>
      </c>
      <c r="N503" s="7">
        <v>1</v>
      </c>
      <c r="O503" s="82">
        <f t="shared" si="15"/>
        <v>0</v>
      </c>
    </row>
    <row r="504" spans="1:15">
      <c r="J504" s="85"/>
      <c r="K504" s="85"/>
      <c r="O504" s="83">
        <f>SUM(O4:O503)</f>
        <v>264056.57282000035</v>
      </c>
    </row>
  </sheetData>
  <autoFilter ref="A3:O504" xr:uid="{B3EA20F1-663B-4E04-AC38-F7F6408BDA85}"/>
  <mergeCells count="1">
    <mergeCell ref="J504:K504"/>
  </mergeCells>
  <phoneticPr fontId="4"/>
  <dataValidations count="2">
    <dataValidation allowBlank="1" showInputMessage="1" showErrorMessage="1" sqref="I4:I46 F52:F123 F6:F34 F44:F49 D6:D481 D483:D503 C482:D482 F128:F503 I48:I503" xr:uid="{8C3C47E6-6061-4946-A38F-149FC3BBF5BF}"/>
    <dataValidation type="list" allowBlank="1" showInputMessage="1" showErrorMessage="1" sqref="B4:B503" xr:uid="{06CF16AD-F7EA-4914-941D-A8930755F1DE}">
      <formula1>#REF!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91" orientation="landscape" r:id="rId1"/>
  <rowBreaks count="8" manualBreakCount="8">
    <brk id="5" max="14" man="1"/>
    <brk id="30" max="14" man="1"/>
    <brk id="159" max="14" man="1"/>
    <brk id="253" max="14" man="1"/>
    <brk id="345" max="14" man="1"/>
    <brk id="427" max="14" man="1"/>
    <brk id="469" max="14" man="1"/>
    <brk id="490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22C99A-3133-4AAE-8AF6-0AAD217307FB}">
          <x14:formula1>
            <xm:f>照明設備稼働時間!$A$4:$A$72</xm:f>
          </x14:formula1>
          <xm:sqref>E4:E503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507B-2E32-4B12-9242-2A06A2C5B3B5}">
  <sheetPr>
    <pageSetUpPr fitToPage="1"/>
  </sheetPr>
  <dimension ref="A1:N35"/>
  <sheetViews>
    <sheetView zoomScale="115" zoomScaleNormal="115" workbookViewId="0">
      <selection activeCell="G27" sqref="G27"/>
    </sheetView>
  </sheetViews>
  <sheetFormatPr defaultColWidth="8.75" defaultRowHeight="17.649999999999999"/>
  <cols>
    <col min="1" max="1" width="17.125" style="36" customWidth="1"/>
    <col min="2" max="11" width="10.5" style="36" bestFit="1" customWidth="1"/>
    <col min="12" max="12" width="11.5" style="36" bestFit="1" customWidth="1"/>
    <col min="13" max="14" width="10.5" style="36" bestFit="1" customWidth="1"/>
    <col min="15" max="16384" width="8.75" style="36"/>
  </cols>
  <sheetData>
    <row r="1" spans="1:14">
      <c r="A1" s="35" t="s">
        <v>15</v>
      </c>
    </row>
    <row r="2" spans="1:14" s="38" customFormat="1">
      <c r="A2" s="37" t="s">
        <v>534</v>
      </c>
      <c r="B2" s="37">
        <v>4</v>
      </c>
      <c r="C2" s="37">
        <v>5</v>
      </c>
      <c r="D2" s="37">
        <v>6</v>
      </c>
      <c r="E2" s="37">
        <v>7</v>
      </c>
      <c r="F2" s="37">
        <v>8</v>
      </c>
      <c r="G2" s="37">
        <v>9</v>
      </c>
      <c r="H2" s="37">
        <v>10</v>
      </c>
      <c r="I2" s="37">
        <v>11</v>
      </c>
      <c r="J2" s="37">
        <v>12</v>
      </c>
      <c r="K2" s="37">
        <v>1</v>
      </c>
      <c r="L2" s="37">
        <v>2</v>
      </c>
      <c r="M2" s="37">
        <v>3</v>
      </c>
      <c r="N2" s="37" t="s">
        <v>535</v>
      </c>
    </row>
    <row r="3" spans="1:14" s="38" customFormat="1">
      <c r="A3" s="37" t="s">
        <v>536</v>
      </c>
      <c r="B3" s="37">
        <v>53431</v>
      </c>
      <c r="C3" s="37">
        <v>48497</v>
      </c>
      <c r="D3" s="37">
        <v>50331</v>
      </c>
      <c r="E3" s="37">
        <v>64930</v>
      </c>
      <c r="F3" s="37">
        <v>68057</v>
      </c>
      <c r="G3" s="37">
        <v>57252</v>
      </c>
      <c r="H3" s="37">
        <v>48608</v>
      </c>
      <c r="I3" s="37">
        <v>54966</v>
      </c>
      <c r="J3" s="37">
        <v>59128</v>
      </c>
      <c r="K3" s="37">
        <v>59832</v>
      </c>
      <c r="L3" s="37">
        <v>0</v>
      </c>
      <c r="M3" s="37">
        <v>0</v>
      </c>
      <c r="N3" s="37">
        <f>AVERAGE(B3:K3)</f>
        <v>56503.199999999997</v>
      </c>
    </row>
    <row r="4" spans="1:14">
      <c r="A4" s="39" t="s">
        <v>476</v>
      </c>
      <c r="B4" s="39">
        <v>20.79032134902959</v>
      </c>
      <c r="C4" s="39">
        <v>20.722034352640371</v>
      </c>
      <c r="D4" s="39">
        <v>20.775479724225626</v>
      </c>
      <c r="E4" s="39">
        <v>20.812713229631914</v>
      </c>
      <c r="F4" s="39">
        <v>20.792204622595765</v>
      </c>
      <c r="G4" s="39">
        <v>20.765008733319359</v>
      </c>
      <c r="H4" s="39">
        <v>20.822959595128374</v>
      </c>
      <c r="I4" s="39">
        <v>20.779814794600298</v>
      </c>
      <c r="J4" s="39">
        <v>20.80052022730348</v>
      </c>
      <c r="K4" s="39">
        <v>20.763221854526009</v>
      </c>
      <c r="L4" s="39" t="e">
        <v>#DIV/0!</v>
      </c>
      <c r="M4" s="39" t="e">
        <v>#DIV/0!</v>
      </c>
      <c r="N4" s="39">
        <f>AVERAGE(B4:K4)</f>
        <v>20.782427848300081</v>
      </c>
    </row>
    <row r="5" spans="1:14">
      <c r="A5" s="39" t="s">
        <v>537</v>
      </c>
      <c r="B5" s="39">
        <v>-2.37</v>
      </c>
      <c r="C5" s="39">
        <v>-2.71</v>
      </c>
      <c r="D5" s="39">
        <v>-2.0699999999999998</v>
      </c>
      <c r="E5" s="39">
        <v>-1.28</v>
      </c>
      <c r="F5" s="39">
        <v>-1.24</v>
      </c>
      <c r="G5" s="39">
        <v>-3.16</v>
      </c>
      <c r="H5" s="39">
        <v>-2.76</v>
      </c>
      <c r="I5" s="39">
        <v>-1.91</v>
      </c>
      <c r="J5" s="39">
        <v>-0.77</v>
      </c>
      <c r="K5" s="39">
        <v>-1.06</v>
      </c>
      <c r="L5" s="39"/>
      <c r="M5" s="39"/>
      <c r="N5" s="39">
        <f>AVERAGE(B5:K5)</f>
        <v>-1.9329999999999998</v>
      </c>
    </row>
    <row r="6" spans="1:14">
      <c r="A6" s="39" t="s">
        <v>459</v>
      </c>
      <c r="B6" s="39">
        <v>1.4</v>
      </c>
      <c r="C6" s="39">
        <v>3.49</v>
      </c>
      <c r="D6" s="39">
        <v>3.49</v>
      </c>
      <c r="E6" s="39">
        <v>3.49</v>
      </c>
      <c r="F6" s="39">
        <v>3.49</v>
      </c>
      <c r="G6" s="39">
        <v>3.49</v>
      </c>
      <c r="H6" s="39">
        <v>3.49</v>
      </c>
      <c r="I6" s="39">
        <v>3.49</v>
      </c>
      <c r="J6" s="39">
        <v>3.49</v>
      </c>
      <c r="K6" s="39">
        <v>3.49</v>
      </c>
      <c r="L6" s="39"/>
      <c r="M6" s="39"/>
      <c r="N6" s="39">
        <f>AVERAGE(B6:K6)</f>
        <v>3.281000000000001</v>
      </c>
    </row>
    <row r="7" spans="1:14">
      <c r="A7" s="39" t="s">
        <v>538</v>
      </c>
      <c r="B7" s="39">
        <f>SUM(B4:B6)</f>
        <v>19.820321349029587</v>
      </c>
      <c r="C7" s="39">
        <f t="shared" ref="C7:M7" si="0">SUM(C4:C6)</f>
        <v>21.502034352640372</v>
      </c>
      <c r="D7" s="39">
        <f t="shared" si="0"/>
        <v>22.195479724225628</v>
      </c>
      <c r="E7" s="39">
        <f t="shared" si="0"/>
        <v>23.022713229631911</v>
      </c>
      <c r="F7" s="39">
        <f t="shared" si="0"/>
        <v>23.042204622595769</v>
      </c>
      <c r="G7" s="39">
        <f t="shared" si="0"/>
        <v>21.095008733319361</v>
      </c>
      <c r="H7" s="39">
        <f t="shared" si="0"/>
        <v>21.552959595128378</v>
      </c>
      <c r="I7" s="39">
        <f t="shared" si="0"/>
        <v>22.359814794600297</v>
      </c>
      <c r="J7" s="39">
        <f t="shared" si="0"/>
        <v>23.520520227303479</v>
      </c>
      <c r="K7" s="39">
        <f t="shared" si="0"/>
        <v>23.193221854526008</v>
      </c>
      <c r="L7" s="39" t="e">
        <f t="shared" si="0"/>
        <v>#DIV/0!</v>
      </c>
      <c r="M7" s="39" t="e">
        <f t="shared" si="0"/>
        <v>#DIV/0!</v>
      </c>
      <c r="N7" s="39">
        <f>AVERAGE(B7:K7)</f>
        <v>22.13042784830008</v>
      </c>
    </row>
    <row r="9" spans="1:14" s="38" customFormat="1">
      <c r="A9" s="37" t="s">
        <v>539</v>
      </c>
      <c r="B9" s="37">
        <v>4</v>
      </c>
      <c r="C9" s="37">
        <v>5</v>
      </c>
      <c r="D9" s="37">
        <v>6</v>
      </c>
      <c r="E9" s="37">
        <v>7</v>
      </c>
      <c r="F9" s="37">
        <v>8</v>
      </c>
      <c r="G9" s="37">
        <v>9</v>
      </c>
      <c r="H9" s="37">
        <v>10</v>
      </c>
      <c r="I9" s="37">
        <v>11</v>
      </c>
      <c r="J9" s="37">
        <v>12</v>
      </c>
      <c r="K9" s="37">
        <v>1</v>
      </c>
      <c r="L9" s="37">
        <v>2</v>
      </c>
      <c r="M9" s="37">
        <v>3</v>
      </c>
      <c r="N9" s="37" t="s">
        <v>535</v>
      </c>
    </row>
    <row r="10" spans="1:14" s="38" customFormat="1">
      <c r="A10" s="37" t="s">
        <v>536</v>
      </c>
      <c r="B10" s="37">
        <v>53370</v>
      </c>
      <c r="C10" s="37">
        <v>48403</v>
      </c>
      <c r="D10" s="37">
        <v>46801</v>
      </c>
      <c r="E10" s="37">
        <v>63384</v>
      </c>
      <c r="F10" s="37">
        <v>70304</v>
      </c>
      <c r="G10" s="37">
        <v>58781</v>
      </c>
      <c r="H10" s="37">
        <v>47414</v>
      </c>
      <c r="I10" s="37">
        <v>56083</v>
      </c>
      <c r="J10" s="37">
        <v>57641</v>
      </c>
      <c r="K10" s="37">
        <v>56891</v>
      </c>
      <c r="L10" s="37">
        <v>56315</v>
      </c>
      <c r="M10" s="37">
        <v>59960</v>
      </c>
      <c r="N10" s="37">
        <f>AVERAGE(B10:K10)</f>
        <v>55907.199999999997</v>
      </c>
    </row>
    <row r="11" spans="1:14">
      <c r="A11" s="39" t="s">
        <v>476</v>
      </c>
      <c r="B11" s="39">
        <v>30.73</v>
      </c>
      <c r="C11" s="39">
        <v>30.64</v>
      </c>
      <c r="D11" s="39">
        <v>30.8</v>
      </c>
      <c r="E11" s="39">
        <v>30.7</v>
      </c>
      <c r="F11" s="39">
        <v>30.78</v>
      </c>
      <c r="G11" s="39">
        <v>30.74</v>
      </c>
      <c r="H11" s="39">
        <v>30.74</v>
      </c>
      <c r="I11" s="39">
        <v>30.73</v>
      </c>
      <c r="J11" s="39">
        <v>30.75</v>
      </c>
      <c r="K11" s="39">
        <v>30.71</v>
      </c>
      <c r="L11" s="39">
        <v>30.716418183432481</v>
      </c>
      <c r="M11" s="39">
        <v>30.706682788525683</v>
      </c>
      <c r="N11" s="39">
        <f>AVERAGE(B11:K11)</f>
        <v>30.731999999999999</v>
      </c>
    </row>
    <row r="12" spans="1:14">
      <c r="A12" s="39" t="s">
        <v>537</v>
      </c>
      <c r="B12" s="39">
        <v>-5.38</v>
      </c>
      <c r="C12" s="39">
        <v>-7.03</v>
      </c>
      <c r="D12" s="39">
        <v>-9.14</v>
      </c>
      <c r="E12" s="39">
        <v>-10.92</v>
      </c>
      <c r="F12" s="39">
        <v>-12.31</v>
      </c>
      <c r="G12" s="39">
        <v>-13.19</v>
      </c>
      <c r="H12" s="39">
        <v>-11.95</v>
      </c>
      <c r="I12" s="39">
        <v>-12.11</v>
      </c>
      <c r="J12" s="39">
        <v>-12.01</v>
      </c>
      <c r="K12" s="39">
        <v>-11.77</v>
      </c>
      <c r="L12" s="39">
        <v>-11.63</v>
      </c>
      <c r="M12" s="39">
        <v>-11.77</v>
      </c>
      <c r="N12" s="39">
        <f>AVERAGE(B12:K12)</f>
        <v>-10.581</v>
      </c>
    </row>
    <row r="13" spans="1:14">
      <c r="A13" s="39" t="s">
        <v>459</v>
      </c>
      <c r="B13" s="39">
        <v>3.45</v>
      </c>
      <c r="C13" s="39">
        <v>1.4</v>
      </c>
      <c r="D13" s="39">
        <v>1.4</v>
      </c>
      <c r="E13" s="39">
        <v>1.4</v>
      </c>
      <c r="F13" s="39">
        <v>1.4</v>
      </c>
      <c r="G13" s="39">
        <v>1.4</v>
      </c>
      <c r="H13" s="39">
        <v>1.4</v>
      </c>
      <c r="I13" s="39">
        <v>1.4</v>
      </c>
      <c r="J13" s="39">
        <v>1.4</v>
      </c>
      <c r="K13" s="39">
        <v>1.4</v>
      </c>
      <c r="L13" s="39">
        <v>1.4</v>
      </c>
      <c r="M13" s="39">
        <v>1.4</v>
      </c>
      <c r="N13" s="39">
        <f>AVERAGE(B13:K13)</f>
        <v>1.605</v>
      </c>
    </row>
    <row r="14" spans="1:14">
      <c r="A14" s="39" t="s">
        <v>538</v>
      </c>
      <c r="B14" s="39">
        <f>SUM(B11:B13)</f>
        <v>28.8</v>
      </c>
      <c r="C14" s="39">
        <f t="shared" ref="C14:M14" si="1">SUM(C11:C13)</f>
        <v>25.009999999999998</v>
      </c>
      <c r="D14" s="39">
        <f t="shared" si="1"/>
        <v>23.06</v>
      </c>
      <c r="E14" s="39">
        <f t="shared" si="1"/>
        <v>21.18</v>
      </c>
      <c r="F14" s="39">
        <f t="shared" si="1"/>
        <v>19.869999999999997</v>
      </c>
      <c r="G14" s="39">
        <f t="shared" si="1"/>
        <v>18.949999999999996</v>
      </c>
      <c r="H14" s="39">
        <f t="shared" si="1"/>
        <v>20.189999999999998</v>
      </c>
      <c r="I14" s="39">
        <f t="shared" si="1"/>
        <v>20.02</v>
      </c>
      <c r="J14" s="39">
        <f t="shared" si="1"/>
        <v>20.14</v>
      </c>
      <c r="K14" s="39">
        <f t="shared" si="1"/>
        <v>20.34</v>
      </c>
      <c r="L14" s="39">
        <f t="shared" si="1"/>
        <v>20.486418183432477</v>
      </c>
      <c r="M14" s="39">
        <f t="shared" si="1"/>
        <v>20.336682788525682</v>
      </c>
      <c r="N14" s="39">
        <f>AVERAGE(B14:K14)</f>
        <v>21.756000000000004</v>
      </c>
    </row>
    <row r="16" spans="1:14" s="38" customFormat="1">
      <c r="A16" s="37" t="s">
        <v>540</v>
      </c>
      <c r="B16" s="37">
        <v>4</v>
      </c>
      <c r="C16" s="37">
        <v>5</v>
      </c>
      <c r="D16" s="37">
        <v>6</v>
      </c>
      <c r="E16" s="37">
        <v>7</v>
      </c>
      <c r="F16" s="37">
        <v>8</v>
      </c>
      <c r="G16" s="37">
        <v>9</v>
      </c>
      <c r="H16" s="37">
        <v>10</v>
      </c>
      <c r="I16" s="37">
        <v>11</v>
      </c>
      <c r="J16" s="37">
        <v>12</v>
      </c>
      <c r="K16" s="37">
        <v>1</v>
      </c>
      <c r="L16" s="37">
        <v>2</v>
      </c>
      <c r="M16" s="37">
        <v>3</v>
      </c>
      <c r="N16" s="37" t="s">
        <v>535</v>
      </c>
    </row>
    <row r="17" spans="1:14" s="38" customFormat="1">
      <c r="A17" s="37" t="s">
        <v>536</v>
      </c>
      <c r="B17" s="37">
        <v>53533</v>
      </c>
      <c r="C17" s="37">
        <v>48172</v>
      </c>
      <c r="D17" s="37">
        <v>47936</v>
      </c>
      <c r="E17" s="37">
        <v>61391</v>
      </c>
      <c r="F17" s="37">
        <v>63936</v>
      </c>
      <c r="G17" s="37">
        <v>55059</v>
      </c>
      <c r="H17" s="37">
        <v>46342</v>
      </c>
      <c r="I17" s="37">
        <v>52841</v>
      </c>
      <c r="J17" s="37">
        <v>55966</v>
      </c>
      <c r="K17" s="37">
        <v>57535</v>
      </c>
      <c r="L17" s="37">
        <v>55309</v>
      </c>
      <c r="M17" s="37">
        <v>58515</v>
      </c>
      <c r="N17" s="37">
        <f>AVERAGE(B17:M17)</f>
        <v>54711.25</v>
      </c>
    </row>
    <row r="18" spans="1:14">
      <c r="A18" s="39" t="s">
        <v>476</v>
      </c>
      <c r="B18" s="39">
        <v>15.95</v>
      </c>
      <c r="C18" s="39">
        <v>15.86</v>
      </c>
      <c r="D18" s="39">
        <v>16.010000000000002</v>
      </c>
      <c r="E18" s="39">
        <v>15.94</v>
      </c>
      <c r="F18" s="39">
        <v>15.98</v>
      </c>
      <c r="G18" s="39">
        <v>15.94</v>
      </c>
      <c r="H18" s="39">
        <v>15.92</v>
      </c>
      <c r="I18" s="39">
        <v>15.94</v>
      </c>
      <c r="J18" s="39">
        <v>15.97</v>
      </c>
      <c r="K18" s="39">
        <v>15.92</v>
      </c>
      <c r="L18" s="39">
        <v>15.95</v>
      </c>
      <c r="M18" s="39">
        <v>15.98</v>
      </c>
      <c r="N18" s="39">
        <f t="shared" ref="N18:N21" si="2">AVERAGE(B18:M18)</f>
        <v>15.946666666666664</v>
      </c>
    </row>
    <row r="19" spans="1:14">
      <c r="A19" s="39" t="s">
        <v>537</v>
      </c>
      <c r="B19" s="39">
        <v>1.34</v>
      </c>
      <c r="C19" s="39">
        <v>1.49</v>
      </c>
      <c r="D19" s="39">
        <v>1.85</v>
      </c>
      <c r="E19" s="39">
        <v>3.1</v>
      </c>
      <c r="F19" s="39">
        <v>4.55</v>
      </c>
      <c r="G19" s="39">
        <v>6.54</v>
      </c>
      <c r="H19" s="39">
        <v>8.0500000000000007</v>
      </c>
      <c r="I19" s="39">
        <v>8.94</v>
      </c>
      <c r="J19" s="39">
        <v>9.36</v>
      </c>
      <c r="K19" s="39">
        <v>9.51</v>
      </c>
      <c r="L19" s="39">
        <v>6.35</v>
      </c>
      <c r="M19" s="39">
        <v>5.8</v>
      </c>
      <c r="N19" s="39">
        <f t="shared" si="2"/>
        <v>5.5733333333333333</v>
      </c>
    </row>
    <row r="20" spans="1:14">
      <c r="A20" s="39" t="s">
        <v>459</v>
      </c>
      <c r="B20" s="39">
        <v>3.36</v>
      </c>
      <c r="C20" s="39">
        <v>3.45</v>
      </c>
      <c r="D20" s="39">
        <v>3.45</v>
      </c>
      <c r="E20" s="39">
        <v>3.45</v>
      </c>
      <c r="F20" s="39">
        <v>3.45</v>
      </c>
      <c r="G20" s="39">
        <v>3.45</v>
      </c>
      <c r="H20" s="39">
        <v>3.45</v>
      </c>
      <c r="I20" s="39">
        <v>3.45</v>
      </c>
      <c r="J20" s="39">
        <v>3.45</v>
      </c>
      <c r="K20" s="39">
        <v>3.45</v>
      </c>
      <c r="L20" s="39">
        <v>3.45</v>
      </c>
      <c r="M20" s="39">
        <v>3.45</v>
      </c>
      <c r="N20" s="39">
        <f t="shared" si="2"/>
        <v>3.4425000000000003</v>
      </c>
    </row>
    <row r="21" spans="1:14">
      <c r="A21" s="39" t="s">
        <v>538</v>
      </c>
      <c r="B21" s="39">
        <f>SUM(B18:B20)</f>
        <v>20.65</v>
      </c>
      <c r="C21" s="39">
        <f t="shared" ref="C21:M21" si="3">SUM(C18:C20)</f>
        <v>20.799999999999997</v>
      </c>
      <c r="D21" s="39">
        <f t="shared" si="3"/>
        <v>21.310000000000002</v>
      </c>
      <c r="E21" s="39">
        <f t="shared" si="3"/>
        <v>22.49</v>
      </c>
      <c r="F21" s="39">
        <f t="shared" si="3"/>
        <v>23.98</v>
      </c>
      <c r="G21" s="39">
        <f t="shared" si="3"/>
        <v>25.93</v>
      </c>
      <c r="H21" s="39">
        <f t="shared" si="3"/>
        <v>27.419999999999998</v>
      </c>
      <c r="I21" s="39">
        <f t="shared" si="3"/>
        <v>28.33</v>
      </c>
      <c r="J21" s="39">
        <f t="shared" si="3"/>
        <v>28.779999999999998</v>
      </c>
      <c r="K21" s="39">
        <f t="shared" si="3"/>
        <v>28.88</v>
      </c>
      <c r="L21" s="39">
        <f t="shared" si="3"/>
        <v>25.749999999999996</v>
      </c>
      <c r="M21" s="39">
        <f t="shared" si="3"/>
        <v>25.23</v>
      </c>
      <c r="N21" s="39">
        <f t="shared" si="2"/>
        <v>24.962499999999995</v>
      </c>
    </row>
    <row r="23" spans="1:14" s="38" customFormat="1" ht="18.3" customHeight="1">
      <c r="A23" s="37" t="s">
        <v>541</v>
      </c>
      <c r="B23" s="37">
        <v>4</v>
      </c>
      <c r="C23" s="37">
        <v>5</v>
      </c>
      <c r="D23" s="37">
        <v>6</v>
      </c>
      <c r="E23" s="37">
        <v>7</v>
      </c>
      <c r="F23" s="37">
        <v>8</v>
      </c>
      <c r="G23" s="37">
        <v>9</v>
      </c>
      <c r="H23" s="37">
        <v>10</v>
      </c>
      <c r="I23" s="37">
        <v>11</v>
      </c>
      <c r="J23" s="37">
        <v>12</v>
      </c>
      <c r="K23" s="37">
        <v>1</v>
      </c>
      <c r="L23" s="37">
        <v>2</v>
      </c>
      <c r="M23" s="37">
        <v>3</v>
      </c>
      <c r="N23" s="37" t="s">
        <v>535</v>
      </c>
    </row>
    <row r="24" spans="1:14" s="38" customFormat="1">
      <c r="A24" s="37" t="s">
        <v>536</v>
      </c>
      <c r="B24" s="37">
        <v>53695</v>
      </c>
      <c r="C24" s="37">
        <v>46824</v>
      </c>
      <c r="D24" s="37">
        <v>45487</v>
      </c>
      <c r="E24" s="37">
        <v>59502</v>
      </c>
      <c r="F24" s="37">
        <v>59715</v>
      </c>
      <c r="G24" s="37">
        <v>50782</v>
      </c>
      <c r="H24" s="37">
        <v>48367</v>
      </c>
      <c r="I24" s="37">
        <v>53198</v>
      </c>
      <c r="J24" s="37">
        <v>56551</v>
      </c>
      <c r="K24" s="37">
        <v>56398</v>
      </c>
      <c r="L24" s="37">
        <v>54032</v>
      </c>
      <c r="M24" s="37">
        <v>58193</v>
      </c>
      <c r="N24" s="37">
        <f>AVERAGE(B24:M24)</f>
        <v>53562</v>
      </c>
    </row>
    <row r="25" spans="1:14">
      <c r="A25" s="39" t="s">
        <v>476</v>
      </c>
      <c r="B25" s="39">
        <v>15.94</v>
      </c>
      <c r="C25" s="39">
        <v>15.84</v>
      </c>
      <c r="D25" s="39">
        <v>16.010000000000002</v>
      </c>
      <c r="E25" s="39">
        <v>15.93</v>
      </c>
      <c r="F25" s="39">
        <v>15.96</v>
      </c>
      <c r="G25" s="39">
        <v>15.95</v>
      </c>
      <c r="H25" s="39">
        <v>15.95</v>
      </c>
      <c r="I25" s="39">
        <v>15.94</v>
      </c>
      <c r="J25" s="39">
        <v>15.96</v>
      </c>
      <c r="K25" s="39">
        <v>15.93</v>
      </c>
      <c r="L25" s="39">
        <v>15.92</v>
      </c>
      <c r="M25" s="39">
        <v>15.98</v>
      </c>
      <c r="N25" s="39">
        <f t="shared" ref="N25:N28" si="4">AVERAGE(B25:M25)</f>
        <v>15.942500000000001</v>
      </c>
    </row>
    <row r="26" spans="1:14">
      <c r="A26" s="39" t="s">
        <v>537</v>
      </c>
      <c r="B26" s="39">
        <v>-3.19</v>
      </c>
      <c r="C26" s="39">
        <v>-2.87</v>
      </c>
      <c r="D26" s="39">
        <v>-2.38</v>
      </c>
      <c r="E26" s="39">
        <v>-1.87</v>
      </c>
      <c r="F26" s="39">
        <v>-1.53</v>
      </c>
      <c r="G26" s="39">
        <v>-1.23</v>
      </c>
      <c r="H26" s="39">
        <v>-0.95</v>
      </c>
      <c r="I26" s="39">
        <v>-0.56999999999999995</v>
      </c>
      <c r="J26" s="39">
        <v>-0.26</v>
      </c>
      <c r="K26" s="39">
        <v>0.06</v>
      </c>
      <c r="L26" s="39">
        <v>0.6</v>
      </c>
      <c r="M26" s="39">
        <v>1.1200000000000001</v>
      </c>
      <c r="N26" s="39">
        <f t="shared" si="4"/>
        <v>-1.0891666666666666</v>
      </c>
    </row>
    <row r="27" spans="1:14">
      <c r="A27" s="39" t="s">
        <v>459</v>
      </c>
      <c r="B27" s="39">
        <v>2.98</v>
      </c>
      <c r="C27" s="39">
        <v>3.36</v>
      </c>
      <c r="D27" s="39">
        <v>3.36</v>
      </c>
      <c r="E27" s="39">
        <v>3.36</v>
      </c>
      <c r="F27" s="39">
        <v>3.36</v>
      </c>
      <c r="G27" s="39">
        <v>3.36</v>
      </c>
      <c r="H27" s="39">
        <v>3.36</v>
      </c>
      <c r="I27" s="39">
        <v>3.36</v>
      </c>
      <c r="J27" s="39">
        <v>3.36</v>
      </c>
      <c r="K27" s="39">
        <v>3.36</v>
      </c>
      <c r="L27" s="39">
        <v>3.36</v>
      </c>
      <c r="M27" s="39">
        <v>3.36</v>
      </c>
      <c r="N27" s="39">
        <f t="shared" si="4"/>
        <v>3.3283333333333331</v>
      </c>
    </row>
    <row r="28" spans="1:14">
      <c r="A28" s="39" t="s">
        <v>538</v>
      </c>
      <c r="B28" s="39">
        <f>SUM(B25:B27)</f>
        <v>15.73</v>
      </c>
      <c r="C28" s="39">
        <f t="shared" ref="C28:M28" si="5">SUM(C25:C27)</f>
        <v>16.329999999999998</v>
      </c>
      <c r="D28" s="39">
        <f t="shared" si="5"/>
        <v>16.990000000000002</v>
      </c>
      <c r="E28" s="39">
        <f t="shared" si="5"/>
        <v>17.419999999999998</v>
      </c>
      <c r="F28" s="39">
        <f t="shared" si="5"/>
        <v>17.790000000000003</v>
      </c>
      <c r="G28" s="39">
        <f t="shared" si="5"/>
        <v>18.079999999999998</v>
      </c>
      <c r="H28" s="39">
        <f t="shared" si="5"/>
        <v>18.36</v>
      </c>
      <c r="I28" s="39">
        <f t="shared" si="5"/>
        <v>18.73</v>
      </c>
      <c r="J28" s="39">
        <f t="shared" si="5"/>
        <v>19.060000000000002</v>
      </c>
      <c r="K28" s="39">
        <f t="shared" si="5"/>
        <v>19.350000000000001</v>
      </c>
      <c r="L28" s="39">
        <f t="shared" si="5"/>
        <v>19.88</v>
      </c>
      <c r="M28" s="39">
        <f t="shared" si="5"/>
        <v>20.46</v>
      </c>
      <c r="N28" s="39">
        <f t="shared" si="4"/>
        <v>18.181666666666668</v>
      </c>
    </row>
    <row r="30" spans="1:14" s="38" customFormat="1">
      <c r="A30" s="37" t="s">
        <v>542</v>
      </c>
      <c r="B30" s="37">
        <v>4</v>
      </c>
      <c r="C30" s="37">
        <v>5</v>
      </c>
      <c r="D30" s="37">
        <v>6</v>
      </c>
      <c r="E30" s="37">
        <v>7</v>
      </c>
      <c r="F30" s="37">
        <v>8</v>
      </c>
      <c r="G30" s="37">
        <v>9</v>
      </c>
      <c r="H30" s="37">
        <v>10</v>
      </c>
      <c r="I30" s="37">
        <v>11</v>
      </c>
      <c r="J30" s="37">
        <v>12</v>
      </c>
      <c r="K30" s="37">
        <v>1</v>
      </c>
      <c r="L30" s="37">
        <v>2</v>
      </c>
      <c r="M30" s="37">
        <v>3</v>
      </c>
      <c r="N30" s="37" t="s">
        <v>535</v>
      </c>
    </row>
    <row r="31" spans="1:14" s="38" customFormat="1">
      <c r="A31" s="37" t="s">
        <v>536</v>
      </c>
      <c r="B31" s="37">
        <v>56959</v>
      </c>
      <c r="C31" s="37">
        <v>52951</v>
      </c>
      <c r="D31" s="37">
        <v>51816</v>
      </c>
      <c r="E31" s="37">
        <v>66131</v>
      </c>
      <c r="F31" s="37">
        <v>66199</v>
      </c>
      <c r="G31" s="37">
        <v>60446</v>
      </c>
      <c r="H31" s="37">
        <v>54916</v>
      </c>
      <c r="I31" s="37">
        <v>60646</v>
      </c>
      <c r="J31" s="37">
        <v>63594</v>
      </c>
      <c r="K31" s="37">
        <v>59839</v>
      </c>
      <c r="L31" s="37">
        <v>53855</v>
      </c>
      <c r="M31" s="37">
        <v>57427</v>
      </c>
      <c r="N31" s="37">
        <f>AVERAGE(B31:M31)</f>
        <v>58731.583333333336</v>
      </c>
    </row>
    <row r="32" spans="1:14">
      <c r="A32" s="39" t="s">
        <v>476</v>
      </c>
      <c r="B32" s="39">
        <v>15.95</v>
      </c>
      <c r="C32" s="39">
        <v>15.83</v>
      </c>
      <c r="D32" s="39">
        <v>16.36</v>
      </c>
      <c r="E32" s="39">
        <v>15.96</v>
      </c>
      <c r="F32" s="39">
        <v>15.95</v>
      </c>
      <c r="G32" s="39">
        <v>15.97</v>
      </c>
      <c r="H32" s="39">
        <v>15.99</v>
      </c>
      <c r="I32" s="39">
        <v>15.9</v>
      </c>
      <c r="J32" s="39">
        <v>15.96</v>
      </c>
      <c r="K32" s="39">
        <v>15.92</v>
      </c>
      <c r="L32" s="39">
        <v>15.92</v>
      </c>
      <c r="M32" s="39">
        <v>16.010000000000002</v>
      </c>
      <c r="N32" s="39">
        <f t="shared" ref="N32:N35" si="6">AVERAGE(B32:M32)</f>
        <v>15.976666666666665</v>
      </c>
    </row>
    <row r="33" spans="1:14">
      <c r="A33" s="39" t="s">
        <v>537</v>
      </c>
      <c r="B33" s="39">
        <v>-1.4</v>
      </c>
      <c r="C33" s="39">
        <v>-1.3</v>
      </c>
      <c r="D33" s="39">
        <v>-1.44</v>
      </c>
      <c r="E33" s="39">
        <v>-2.08</v>
      </c>
      <c r="F33" s="39">
        <v>2.89</v>
      </c>
      <c r="G33" s="39">
        <v>-3.76</v>
      </c>
      <c r="H33" s="39">
        <v>-4.12</v>
      </c>
      <c r="I33" s="39">
        <v>-3.8</v>
      </c>
      <c r="J33" s="39">
        <v>-3.44</v>
      </c>
      <c r="K33" s="39">
        <v>-3.25</v>
      </c>
      <c r="L33" s="39">
        <v>-3.31</v>
      </c>
      <c r="M33" s="39">
        <v>-3.35</v>
      </c>
      <c r="N33" s="39">
        <f t="shared" si="6"/>
        <v>-2.3633333333333337</v>
      </c>
    </row>
    <row r="34" spans="1:14">
      <c r="A34" s="39" t="s">
        <v>459</v>
      </c>
      <c r="B34" s="39">
        <v>2.95</v>
      </c>
      <c r="C34" s="39">
        <v>2.98</v>
      </c>
      <c r="D34" s="39">
        <v>2.98</v>
      </c>
      <c r="E34" s="39">
        <v>2.98</v>
      </c>
      <c r="F34" s="39">
        <v>2.98</v>
      </c>
      <c r="G34" s="39">
        <v>2.98</v>
      </c>
      <c r="H34" s="39">
        <v>2.98</v>
      </c>
      <c r="I34" s="39">
        <v>2.98</v>
      </c>
      <c r="J34" s="39">
        <v>2.98</v>
      </c>
      <c r="K34" s="39">
        <v>2.98</v>
      </c>
      <c r="L34" s="39">
        <v>2.98</v>
      </c>
      <c r="M34" s="39">
        <v>2.98</v>
      </c>
      <c r="N34" s="39">
        <f t="shared" si="6"/>
        <v>2.9774999999999996</v>
      </c>
    </row>
    <row r="35" spans="1:14">
      <c r="A35" s="39" t="s">
        <v>538</v>
      </c>
      <c r="B35" s="39">
        <f>SUM(B32:B34)</f>
        <v>17.5</v>
      </c>
      <c r="C35" s="39">
        <f t="shared" ref="C35:M35" si="7">SUM(C32:C34)</f>
        <v>17.509999999999998</v>
      </c>
      <c r="D35" s="39">
        <f t="shared" si="7"/>
        <v>17.899999999999999</v>
      </c>
      <c r="E35" s="39">
        <f t="shared" si="7"/>
        <v>16.86</v>
      </c>
      <c r="F35" s="39">
        <f t="shared" si="7"/>
        <v>21.82</v>
      </c>
      <c r="G35" s="39">
        <f t="shared" si="7"/>
        <v>15.190000000000001</v>
      </c>
      <c r="H35" s="39">
        <f t="shared" si="7"/>
        <v>14.850000000000001</v>
      </c>
      <c r="I35" s="39">
        <f t="shared" si="7"/>
        <v>15.080000000000002</v>
      </c>
      <c r="J35" s="39">
        <f t="shared" si="7"/>
        <v>15.500000000000002</v>
      </c>
      <c r="K35" s="39">
        <f t="shared" si="7"/>
        <v>15.65</v>
      </c>
      <c r="L35" s="39">
        <f t="shared" si="7"/>
        <v>15.59</v>
      </c>
      <c r="M35" s="39">
        <f t="shared" si="7"/>
        <v>15.640000000000002</v>
      </c>
      <c r="N35" s="39">
        <f t="shared" si="6"/>
        <v>16.590833333333336</v>
      </c>
    </row>
  </sheetData>
  <phoneticPr fontId="4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設定ベースライン</vt:lpstr>
      <vt:lpstr>直近36ヶ月使用電力量</vt:lpstr>
      <vt:lpstr>照明器具一覧</vt:lpstr>
      <vt:lpstr>照明設備稼働時間</vt:lpstr>
      <vt:lpstr>照明器具台数</vt:lpstr>
      <vt:lpstr>既設照明器具リスト</vt:lpstr>
      <vt:lpstr>総合福祉センター</vt:lpstr>
      <vt:lpstr>既設照明器具リスト!Print_Area</vt:lpstr>
      <vt:lpstr>既設照明器具リスト!Print_Titles</vt:lpstr>
      <vt:lpstr>照明器具一覧!Print_Titles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　正敏</dc:creator>
  <cp:lastModifiedBy>福山　正敏</cp:lastModifiedBy>
  <cp:lastPrinted>2025-03-23T05:27:17Z</cp:lastPrinted>
  <dcterms:created xsi:type="dcterms:W3CDTF">2015-06-05T18:19:34Z</dcterms:created>
  <dcterms:modified xsi:type="dcterms:W3CDTF">2025-03-23T06:54:42Z</dcterms:modified>
</cp:coreProperties>
</file>