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1_本庁舎\"/>
    </mc:Choice>
  </mc:AlternateContent>
  <xr:revisionPtr revIDLastSave="0" documentId="13_ncr:1_{68AAC2E1-5F6B-4A07-9C1C-8F0FA43F6FB1}" xr6:coauthVersionLast="47" xr6:coauthVersionMax="47" xr10:uidLastSave="{00000000-0000-0000-0000-000000000000}"/>
  <bookViews>
    <workbookView xWindow="40920" yWindow="-120" windowWidth="29040" windowHeight="15840" tabRatio="1000" activeTab="4" xr2:uid="{00000000-000D-0000-FFFF-FFFF00000000}"/>
  </bookViews>
  <sheets>
    <sheet name="設定ベースライン" sheetId="20" r:id="rId1"/>
    <sheet name="直近36ヶ月使用電力量" sheetId="21" r:id="rId2"/>
    <sheet name="照明器具一覧" sheetId="17" r:id="rId3"/>
    <sheet name="照明設備稼働時間" sheetId="16" r:id="rId4"/>
    <sheet name="照明器具台数" sheetId="22" r:id="rId5"/>
    <sheet name="既設照明器具リスト" sheetId="18" r:id="rId6"/>
    <sheet name="使用電力量" sheetId="19" state="hidden" r:id="rId7"/>
    <sheet name="集計表" sheetId="12" state="hidden" r:id="rId8"/>
    <sheet name="本庁舎屋外" sheetId="15" state="hidden" r:id="rId9"/>
    <sheet name="本庁舎B１" sheetId="14" state="hidden" r:id="rId10"/>
    <sheet name="本庁舎１Ｆ" sheetId="13" state="hidden" r:id="rId11"/>
    <sheet name="本庁舎２Ｆ" sheetId="11" state="hidden" r:id="rId12"/>
    <sheet name="本庁舎3Ｆ" sheetId="10" state="hidden" r:id="rId13"/>
    <sheet name="本庁舎4Ｆ" sheetId="9" state="hidden" r:id="rId14"/>
    <sheet name="本庁舎５F" sheetId="1" state="hidden" r:id="rId15"/>
    <sheet name="本庁舎６F" sheetId="2" state="hidden" r:id="rId16"/>
    <sheet name="本庁舎７Ｆ" sheetId="4" state="hidden" r:id="rId17"/>
    <sheet name="本庁舎８Ｆ" sheetId="6" state="hidden" r:id="rId18"/>
    <sheet name="本庁舎RＦ" sheetId="8" state="hidden" r:id="rId19"/>
    <sheet name="(例)本庁舎※Ｆ" sheetId="7" state="hidden" r:id="rId20"/>
  </sheets>
  <definedNames>
    <definedName name="_xlnm._FilterDatabase" localSheetId="5" hidden="1">既設照明器具リスト!$A$3:$O$878</definedName>
    <definedName name="_xlnm._FilterDatabase" localSheetId="2" hidden="1">照明器具一覧!$A$3:$F$129</definedName>
    <definedName name="_xlnm.Print_Area" localSheetId="5">既設照明器具リスト!$A$1:$O$876</definedName>
    <definedName name="_xlnm.Print_Area" localSheetId="6">使用電力量!$A$1:$O$22</definedName>
    <definedName name="_xlnm.Print_Titles" localSheetId="5">既設照明器具リスト!$3:$3</definedName>
    <definedName name="_xlnm.Print_Titles" localSheetId="2">照明器具一覧!$3:$3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6" l="1"/>
  <c r="E28" i="16"/>
  <c r="E21" i="16"/>
  <c r="E22" i="16"/>
  <c r="E20" i="16"/>
  <c r="L9" i="22"/>
  <c r="K9" i="22"/>
  <c r="J9" i="22"/>
  <c r="I9" i="22"/>
  <c r="H9" i="22"/>
  <c r="G9" i="22"/>
  <c r="F9" i="22"/>
  <c r="E9" i="22"/>
  <c r="D9" i="22"/>
  <c r="C9" i="22"/>
  <c r="B9" i="22"/>
  <c r="L8" i="22"/>
  <c r="K8" i="22"/>
  <c r="J8" i="22"/>
  <c r="I8" i="22"/>
  <c r="H8" i="22"/>
  <c r="G8" i="22"/>
  <c r="F8" i="22"/>
  <c r="E8" i="22"/>
  <c r="D8" i="22"/>
  <c r="C8" i="22"/>
  <c r="B8" i="22"/>
  <c r="L7" i="22"/>
  <c r="K7" i="22"/>
  <c r="J7" i="22"/>
  <c r="I7" i="22"/>
  <c r="H7" i="22"/>
  <c r="G7" i="22"/>
  <c r="F7" i="22"/>
  <c r="E7" i="22"/>
  <c r="D7" i="22"/>
  <c r="C7" i="22"/>
  <c r="B7" i="22"/>
  <c r="L6" i="22"/>
  <c r="K6" i="22"/>
  <c r="J6" i="22"/>
  <c r="I6" i="22"/>
  <c r="H6" i="22"/>
  <c r="G6" i="22"/>
  <c r="F6" i="22"/>
  <c r="E6" i="22"/>
  <c r="D6" i="22"/>
  <c r="C6" i="22"/>
  <c r="B6" i="22"/>
  <c r="L5" i="22"/>
  <c r="K5" i="22"/>
  <c r="J5" i="22"/>
  <c r="I5" i="22"/>
  <c r="H5" i="22"/>
  <c r="G5" i="22"/>
  <c r="F5" i="22"/>
  <c r="E5" i="22"/>
  <c r="D5" i="22"/>
  <c r="C5" i="22"/>
  <c r="B5" i="22"/>
  <c r="L4" i="22"/>
  <c r="K4" i="22"/>
  <c r="J4" i="22"/>
  <c r="I4" i="22"/>
  <c r="H4" i="22"/>
  <c r="G4" i="22"/>
  <c r="F4" i="22"/>
  <c r="E4" i="22"/>
  <c r="D4" i="22"/>
  <c r="C4" i="22"/>
  <c r="B4" i="22"/>
  <c r="B10" i="20"/>
  <c r="B9" i="20"/>
  <c r="B8" i="20"/>
  <c r="B7" i="20"/>
  <c r="B6" i="20"/>
  <c r="B3" i="20" s="1"/>
  <c r="O21" i="21"/>
  <c r="B19" i="21"/>
  <c r="O19" i="21" s="1"/>
  <c r="C19" i="21"/>
  <c r="D19" i="21"/>
  <c r="E19" i="21"/>
  <c r="F19" i="21"/>
  <c r="G19" i="21"/>
  <c r="H19" i="21"/>
  <c r="I19" i="21"/>
  <c r="J19" i="21"/>
  <c r="K19" i="21"/>
  <c r="L19" i="21"/>
  <c r="M19" i="21"/>
  <c r="B20" i="21"/>
  <c r="C20" i="21"/>
  <c r="O20" i="21" s="1"/>
  <c r="D20" i="21"/>
  <c r="E20" i="21"/>
  <c r="F20" i="21"/>
  <c r="G20" i="21"/>
  <c r="H20" i="21"/>
  <c r="I20" i="21"/>
  <c r="J20" i="21"/>
  <c r="K20" i="21"/>
  <c r="L20" i="21"/>
  <c r="M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B22" i="21"/>
  <c r="O22" i="21" s="1"/>
  <c r="C22" i="21"/>
  <c r="D22" i="21"/>
  <c r="E22" i="21"/>
  <c r="F22" i="21"/>
  <c r="G22" i="21"/>
  <c r="H22" i="21"/>
  <c r="I22" i="21"/>
  <c r="J22" i="21"/>
  <c r="K22" i="21"/>
  <c r="L22" i="21"/>
  <c r="M22" i="21"/>
  <c r="B12" i="21"/>
  <c r="O12" i="21" s="1"/>
  <c r="C12" i="21"/>
  <c r="D12" i="21"/>
  <c r="E12" i="21"/>
  <c r="F12" i="21"/>
  <c r="G12" i="21"/>
  <c r="H12" i="21"/>
  <c r="I12" i="21"/>
  <c r="J12" i="21"/>
  <c r="K12" i="21"/>
  <c r="L12" i="21"/>
  <c r="M12" i="21"/>
  <c r="B13" i="21"/>
  <c r="O13" i="21" s="1"/>
  <c r="C13" i="21"/>
  <c r="D13" i="21"/>
  <c r="E13" i="21"/>
  <c r="F13" i="21"/>
  <c r="G13" i="21"/>
  <c r="H13" i="21"/>
  <c r="I13" i="21"/>
  <c r="J13" i="21"/>
  <c r="K13" i="21"/>
  <c r="L13" i="21"/>
  <c r="M13" i="21"/>
  <c r="B14" i="21"/>
  <c r="O14" i="21" s="1"/>
  <c r="C14" i="21"/>
  <c r="D14" i="21"/>
  <c r="E14" i="21"/>
  <c r="F14" i="21"/>
  <c r="G14" i="21"/>
  <c r="H14" i="21"/>
  <c r="I14" i="21"/>
  <c r="J14" i="21"/>
  <c r="K14" i="21"/>
  <c r="L14" i="21"/>
  <c r="M14" i="21"/>
  <c r="B15" i="21"/>
  <c r="O15" i="21" s="1"/>
  <c r="C15" i="21"/>
  <c r="D15" i="21"/>
  <c r="E15" i="21"/>
  <c r="F15" i="21"/>
  <c r="G15" i="21"/>
  <c r="H15" i="21"/>
  <c r="I15" i="21"/>
  <c r="J15" i="21"/>
  <c r="K15" i="21"/>
  <c r="L15" i="21"/>
  <c r="M15" i="21"/>
  <c r="B5" i="21"/>
  <c r="O5" i="21" s="1"/>
  <c r="C5" i="21"/>
  <c r="D5" i="21"/>
  <c r="E5" i="21"/>
  <c r="F5" i="21"/>
  <c r="G5" i="21"/>
  <c r="H5" i="21"/>
  <c r="I5" i="21"/>
  <c r="J5" i="21"/>
  <c r="K5" i="21"/>
  <c r="L5" i="21"/>
  <c r="B6" i="21"/>
  <c r="O6" i="21" s="1"/>
  <c r="C6" i="21"/>
  <c r="D6" i="21"/>
  <c r="E6" i="21"/>
  <c r="F6" i="21"/>
  <c r="G6" i="21"/>
  <c r="H6" i="21"/>
  <c r="I6" i="21"/>
  <c r="J6" i="21"/>
  <c r="K6" i="21"/>
  <c r="L6" i="21"/>
  <c r="B7" i="21"/>
  <c r="O7" i="21" s="1"/>
  <c r="C7" i="21"/>
  <c r="D7" i="21"/>
  <c r="E7" i="21"/>
  <c r="F7" i="21"/>
  <c r="G7" i="21"/>
  <c r="H7" i="21"/>
  <c r="I7" i="21"/>
  <c r="J7" i="21"/>
  <c r="K7" i="21"/>
  <c r="L7" i="21"/>
  <c r="B8" i="21"/>
  <c r="O8" i="21" s="1"/>
  <c r="C8" i="21"/>
  <c r="D8" i="21"/>
  <c r="E8" i="21"/>
  <c r="F8" i="21"/>
  <c r="G8" i="21"/>
  <c r="H8" i="21"/>
  <c r="I8" i="21"/>
  <c r="J8" i="21"/>
  <c r="K8" i="21"/>
  <c r="L8" i="21"/>
  <c r="M6" i="21"/>
  <c r="M7" i="21"/>
  <c r="M8" i="21"/>
  <c r="M5" i="21"/>
  <c r="B18" i="21"/>
  <c r="C18" i="21"/>
  <c r="L18" i="21"/>
  <c r="K18" i="21"/>
  <c r="J18" i="21"/>
  <c r="I18" i="21"/>
  <c r="H18" i="21"/>
  <c r="G18" i="21"/>
  <c r="F18" i="21"/>
  <c r="E18" i="21"/>
  <c r="D18" i="21"/>
  <c r="M18" i="21"/>
  <c r="B11" i="21"/>
  <c r="C11" i="21"/>
  <c r="L11" i="21"/>
  <c r="K11" i="21"/>
  <c r="J11" i="21"/>
  <c r="I11" i="21"/>
  <c r="H11" i="21"/>
  <c r="G11" i="21"/>
  <c r="F11" i="21"/>
  <c r="E11" i="21"/>
  <c r="D11" i="21"/>
  <c r="O11" i="21" s="1"/>
  <c r="M11" i="21"/>
  <c r="B4" i="21"/>
  <c r="O4" i="21" s="1"/>
  <c r="C4" i="21"/>
  <c r="L4" i="21"/>
  <c r="K4" i="21"/>
  <c r="J4" i="21"/>
  <c r="I4" i="21"/>
  <c r="H4" i="21"/>
  <c r="G4" i="21"/>
  <c r="F4" i="21"/>
  <c r="E4" i="21"/>
  <c r="D4" i="21"/>
  <c r="M4" i="21"/>
  <c r="O4" i="19"/>
  <c r="N18" i="19"/>
  <c r="N11" i="19"/>
  <c r="N4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O35" i="19"/>
  <c r="O34" i="19"/>
  <c r="O33" i="19"/>
  <c r="O32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O28" i="19"/>
  <c r="O27" i="19"/>
  <c r="O26" i="19"/>
  <c r="O25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O21" i="19"/>
  <c r="O20" i="19"/>
  <c r="O19" i="19"/>
  <c r="O18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O14" i="19"/>
  <c r="O13" i="19"/>
  <c r="O12" i="19"/>
  <c r="O11" i="19"/>
  <c r="M8" i="19"/>
  <c r="L8" i="19"/>
  <c r="K8" i="19"/>
  <c r="J8" i="19"/>
  <c r="I8" i="19"/>
  <c r="H8" i="19"/>
  <c r="G8" i="19"/>
  <c r="F8" i="19"/>
  <c r="E8" i="19"/>
  <c r="D8" i="19"/>
  <c r="C8" i="19"/>
  <c r="B8" i="19"/>
  <c r="O7" i="19"/>
  <c r="O6" i="19"/>
  <c r="O5" i="19"/>
  <c r="H11" i="22" l="1"/>
  <c r="F11" i="22"/>
  <c r="D11" i="22"/>
  <c r="L11" i="22"/>
  <c r="H10" i="22"/>
  <c r="I12" i="22"/>
  <c r="F10" i="22"/>
  <c r="C11" i="22"/>
  <c r="K11" i="22"/>
  <c r="E11" i="22"/>
  <c r="M6" i="22"/>
  <c r="M9" i="22"/>
  <c r="G11" i="22"/>
  <c r="K10" i="22"/>
  <c r="M7" i="22"/>
  <c r="J10" i="22"/>
  <c r="D12" i="22"/>
  <c r="L12" i="22"/>
  <c r="I11" i="22"/>
  <c r="I10" i="22"/>
  <c r="C10" i="22"/>
  <c r="E12" i="22"/>
  <c r="M5" i="22"/>
  <c r="J11" i="22"/>
  <c r="E10" i="22"/>
  <c r="M8" i="22"/>
  <c r="B12" i="22"/>
  <c r="G12" i="22"/>
  <c r="C12" i="22"/>
  <c r="B10" i="22"/>
  <c r="K12" i="22"/>
  <c r="L10" i="22"/>
  <c r="D10" i="22"/>
  <c r="J12" i="22"/>
  <c r="M4" i="22"/>
  <c r="B11" i="22"/>
  <c r="H12" i="22"/>
  <c r="F12" i="22"/>
  <c r="G10" i="22"/>
  <c r="N18" i="21"/>
  <c r="O18" i="21"/>
  <c r="N4" i="21"/>
  <c r="N11" i="21"/>
  <c r="O29" i="19"/>
  <c r="O15" i="19"/>
  <c r="O22" i="19"/>
  <c r="O8" i="19"/>
  <c r="O36" i="19"/>
  <c r="M11" i="22" l="1"/>
  <c r="M12" i="22"/>
  <c r="M10" i="22"/>
  <c r="E6" i="16"/>
  <c r="E9" i="16"/>
  <c r="B4" i="17"/>
  <c r="B5" i="17"/>
  <c r="B6" i="17"/>
  <c r="B7" i="17"/>
  <c r="B8" i="17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146" i="18"/>
  <c r="L147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28" i="18"/>
  <c r="L329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66" i="18"/>
  <c r="L367" i="18"/>
  <c r="L368" i="18"/>
  <c r="L369" i="18"/>
  <c r="L370" i="18"/>
  <c r="L371" i="18"/>
  <c r="L372" i="18"/>
  <c r="L373" i="18"/>
  <c r="L374" i="18"/>
  <c r="L375" i="18"/>
  <c r="L376" i="18"/>
  <c r="L377" i="18"/>
  <c r="L378" i="18"/>
  <c r="L379" i="18"/>
  <c r="L380" i="18"/>
  <c r="L381" i="18"/>
  <c r="L382" i="18"/>
  <c r="L383" i="18"/>
  <c r="L384" i="18"/>
  <c r="L385" i="18"/>
  <c r="L386" i="18"/>
  <c r="L387" i="18"/>
  <c r="L388" i="18"/>
  <c r="L389" i="18"/>
  <c r="L390" i="18"/>
  <c r="L391" i="18"/>
  <c r="L392" i="18"/>
  <c r="L393" i="18"/>
  <c r="L394" i="18"/>
  <c r="L395" i="18"/>
  <c r="L396" i="18"/>
  <c r="L397" i="18"/>
  <c r="L398" i="18"/>
  <c r="L399" i="18"/>
  <c r="L400" i="18"/>
  <c r="L401" i="18"/>
  <c r="L402" i="18"/>
  <c r="L403" i="18"/>
  <c r="L404" i="18"/>
  <c r="L405" i="18"/>
  <c r="L406" i="18"/>
  <c r="L407" i="18"/>
  <c r="L408" i="18"/>
  <c r="L409" i="18"/>
  <c r="L410" i="18"/>
  <c r="L411" i="18"/>
  <c r="L412" i="18"/>
  <c r="L413" i="18"/>
  <c r="L414" i="18"/>
  <c r="L415" i="18"/>
  <c r="L416" i="18"/>
  <c r="L417" i="18"/>
  <c r="L418" i="18"/>
  <c r="L419" i="18"/>
  <c r="L420" i="18"/>
  <c r="L421" i="18"/>
  <c r="L422" i="18"/>
  <c r="L423" i="18"/>
  <c r="L424" i="18"/>
  <c r="L425" i="18"/>
  <c r="L426" i="18"/>
  <c r="L427" i="18"/>
  <c r="L428" i="18"/>
  <c r="L429" i="18"/>
  <c r="L430" i="18"/>
  <c r="L431" i="18"/>
  <c r="L432" i="18"/>
  <c r="L433" i="18"/>
  <c r="L434" i="18"/>
  <c r="L435" i="18"/>
  <c r="L436" i="18"/>
  <c r="L437" i="18"/>
  <c r="L438" i="18"/>
  <c r="L439" i="18"/>
  <c r="L440" i="18"/>
  <c r="L441" i="18"/>
  <c r="L442" i="18"/>
  <c r="L443" i="18"/>
  <c r="L444" i="18"/>
  <c r="L445" i="18"/>
  <c r="L446" i="18"/>
  <c r="L447" i="18"/>
  <c r="L448" i="18"/>
  <c r="L449" i="18"/>
  <c r="L450" i="18"/>
  <c r="L451" i="18"/>
  <c r="L452" i="18"/>
  <c r="L453" i="18"/>
  <c r="L454" i="18"/>
  <c r="L455" i="18"/>
  <c r="L456" i="18"/>
  <c r="L457" i="18"/>
  <c r="L458" i="18"/>
  <c r="L459" i="18"/>
  <c r="L460" i="18"/>
  <c r="L461" i="18"/>
  <c r="L462" i="18"/>
  <c r="L463" i="18"/>
  <c r="L464" i="18"/>
  <c r="L465" i="18"/>
  <c r="L466" i="18"/>
  <c r="L467" i="18"/>
  <c r="L468" i="18"/>
  <c r="L469" i="18"/>
  <c r="L470" i="18"/>
  <c r="L471" i="18"/>
  <c r="L472" i="18"/>
  <c r="L473" i="18"/>
  <c r="L474" i="18"/>
  <c r="L475" i="18"/>
  <c r="L476" i="18"/>
  <c r="L477" i="18"/>
  <c r="L478" i="18"/>
  <c r="L479" i="18"/>
  <c r="L480" i="18"/>
  <c r="L481" i="18"/>
  <c r="L482" i="18"/>
  <c r="L483" i="18"/>
  <c r="L484" i="18"/>
  <c r="L485" i="18"/>
  <c r="L486" i="18"/>
  <c r="L487" i="18"/>
  <c r="L488" i="18"/>
  <c r="L489" i="18"/>
  <c r="L490" i="18"/>
  <c r="L491" i="18"/>
  <c r="L492" i="18"/>
  <c r="L493" i="18"/>
  <c r="L494" i="18"/>
  <c r="L495" i="18"/>
  <c r="L496" i="18"/>
  <c r="L497" i="18"/>
  <c r="L498" i="18"/>
  <c r="L499" i="18"/>
  <c r="L500" i="18"/>
  <c r="L501" i="18"/>
  <c r="L502" i="18"/>
  <c r="L503" i="18"/>
  <c r="L504" i="18"/>
  <c r="L505" i="18"/>
  <c r="L506" i="18"/>
  <c r="L507" i="18"/>
  <c r="L508" i="18"/>
  <c r="L509" i="18"/>
  <c r="L510" i="18"/>
  <c r="L511" i="18"/>
  <c r="L512" i="18"/>
  <c r="L513" i="18"/>
  <c r="L514" i="18"/>
  <c r="L515" i="18"/>
  <c r="L516" i="18"/>
  <c r="L517" i="18"/>
  <c r="L518" i="18"/>
  <c r="L519" i="18"/>
  <c r="L520" i="18"/>
  <c r="L521" i="18"/>
  <c r="L522" i="18"/>
  <c r="L523" i="18"/>
  <c r="L524" i="18"/>
  <c r="L525" i="18"/>
  <c r="L526" i="18"/>
  <c r="L527" i="18"/>
  <c r="L528" i="18"/>
  <c r="L529" i="18"/>
  <c r="L530" i="18"/>
  <c r="L531" i="18"/>
  <c r="L532" i="18"/>
  <c r="L533" i="18"/>
  <c r="L534" i="18"/>
  <c r="L535" i="18"/>
  <c r="L536" i="18"/>
  <c r="L537" i="18"/>
  <c r="L538" i="18"/>
  <c r="L539" i="18"/>
  <c r="L540" i="18"/>
  <c r="L541" i="18"/>
  <c r="L542" i="18"/>
  <c r="L543" i="18"/>
  <c r="L544" i="18"/>
  <c r="L545" i="18"/>
  <c r="L546" i="18"/>
  <c r="L547" i="18"/>
  <c r="L548" i="18"/>
  <c r="L549" i="18"/>
  <c r="L550" i="18"/>
  <c r="L551" i="18"/>
  <c r="L552" i="18"/>
  <c r="L553" i="18"/>
  <c r="L554" i="18"/>
  <c r="L555" i="18"/>
  <c r="L556" i="18"/>
  <c r="L557" i="18"/>
  <c r="L558" i="18"/>
  <c r="L559" i="18"/>
  <c r="L560" i="18"/>
  <c r="L561" i="18"/>
  <c r="L562" i="18"/>
  <c r="L563" i="18"/>
  <c r="L564" i="18"/>
  <c r="L565" i="18"/>
  <c r="L566" i="18"/>
  <c r="L567" i="18"/>
  <c r="L568" i="18"/>
  <c r="L569" i="18"/>
  <c r="L570" i="18"/>
  <c r="L571" i="18"/>
  <c r="L572" i="18"/>
  <c r="L573" i="18"/>
  <c r="L574" i="18"/>
  <c r="L575" i="18"/>
  <c r="L576" i="18"/>
  <c r="L577" i="18"/>
  <c r="L578" i="18"/>
  <c r="L579" i="18"/>
  <c r="L580" i="18"/>
  <c r="L581" i="18"/>
  <c r="L582" i="18"/>
  <c r="L583" i="18"/>
  <c r="L584" i="18"/>
  <c r="L585" i="18"/>
  <c r="L586" i="18"/>
  <c r="L587" i="18"/>
  <c r="L588" i="18"/>
  <c r="L589" i="18"/>
  <c r="L590" i="18"/>
  <c r="L591" i="18"/>
  <c r="L592" i="18"/>
  <c r="L593" i="18"/>
  <c r="L594" i="18"/>
  <c r="L595" i="18"/>
  <c r="L596" i="18"/>
  <c r="L597" i="18"/>
  <c r="L598" i="18"/>
  <c r="L599" i="18"/>
  <c r="L600" i="18"/>
  <c r="L601" i="18"/>
  <c r="L602" i="18"/>
  <c r="L603" i="18"/>
  <c r="L604" i="18"/>
  <c r="L605" i="18"/>
  <c r="L606" i="18"/>
  <c r="L607" i="18"/>
  <c r="L608" i="18"/>
  <c r="L609" i="18"/>
  <c r="L610" i="18"/>
  <c r="L611" i="18"/>
  <c r="L612" i="18"/>
  <c r="L613" i="18"/>
  <c r="L614" i="18"/>
  <c r="L615" i="18"/>
  <c r="L616" i="18"/>
  <c r="L617" i="18"/>
  <c r="L618" i="18"/>
  <c r="L619" i="18"/>
  <c r="L620" i="18"/>
  <c r="L621" i="18"/>
  <c r="L622" i="18"/>
  <c r="L623" i="18"/>
  <c r="L624" i="18"/>
  <c r="L625" i="18"/>
  <c r="L626" i="18"/>
  <c r="L627" i="18"/>
  <c r="L628" i="18"/>
  <c r="L629" i="18"/>
  <c r="L630" i="18"/>
  <c r="L631" i="18"/>
  <c r="L632" i="18"/>
  <c r="L633" i="18"/>
  <c r="L634" i="18"/>
  <c r="L635" i="18"/>
  <c r="L636" i="18"/>
  <c r="L637" i="18"/>
  <c r="L638" i="18"/>
  <c r="L639" i="18"/>
  <c r="L640" i="18"/>
  <c r="L641" i="18"/>
  <c r="L642" i="18"/>
  <c r="L643" i="18"/>
  <c r="L644" i="18"/>
  <c r="L645" i="18"/>
  <c r="L646" i="18"/>
  <c r="L647" i="18"/>
  <c r="L648" i="18"/>
  <c r="L649" i="18"/>
  <c r="L650" i="18"/>
  <c r="L651" i="18"/>
  <c r="L652" i="18"/>
  <c r="L653" i="18"/>
  <c r="L654" i="18"/>
  <c r="L655" i="18"/>
  <c r="L656" i="18"/>
  <c r="L657" i="18"/>
  <c r="L658" i="18"/>
  <c r="L659" i="18"/>
  <c r="L660" i="18"/>
  <c r="L661" i="18"/>
  <c r="L662" i="18"/>
  <c r="L663" i="18"/>
  <c r="L664" i="18"/>
  <c r="L665" i="18"/>
  <c r="L666" i="18"/>
  <c r="L667" i="18"/>
  <c r="L668" i="18"/>
  <c r="L669" i="18"/>
  <c r="L670" i="18"/>
  <c r="L671" i="18"/>
  <c r="L672" i="18"/>
  <c r="L673" i="18"/>
  <c r="L674" i="18"/>
  <c r="L675" i="18"/>
  <c r="L676" i="18"/>
  <c r="L677" i="18"/>
  <c r="L678" i="18"/>
  <c r="L679" i="18"/>
  <c r="L680" i="18"/>
  <c r="L681" i="18"/>
  <c r="L682" i="18"/>
  <c r="L683" i="18"/>
  <c r="L684" i="18"/>
  <c r="L685" i="18"/>
  <c r="L686" i="18"/>
  <c r="L687" i="18"/>
  <c r="L688" i="18"/>
  <c r="L689" i="18"/>
  <c r="L690" i="18"/>
  <c r="L691" i="18"/>
  <c r="L692" i="18"/>
  <c r="L693" i="18"/>
  <c r="L694" i="18"/>
  <c r="L695" i="18"/>
  <c r="L696" i="18"/>
  <c r="L697" i="18"/>
  <c r="L698" i="18"/>
  <c r="L699" i="18"/>
  <c r="L700" i="18"/>
  <c r="L701" i="18"/>
  <c r="L702" i="18"/>
  <c r="L703" i="18"/>
  <c r="L704" i="18"/>
  <c r="L705" i="18"/>
  <c r="L706" i="18"/>
  <c r="L707" i="18"/>
  <c r="L708" i="18"/>
  <c r="L709" i="18"/>
  <c r="L710" i="18"/>
  <c r="L711" i="18"/>
  <c r="L712" i="18"/>
  <c r="L713" i="18"/>
  <c r="L714" i="18"/>
  <c r="L715" i="18"/>
  <c r="L716" i="18"/>
  <c r="L717" i="18"/>
  <c r="L718" i="18"/>
  <c r="L719" i="18"/>
  <c r="L720" i="18"/>
  <c r="L721" i="18"/>
  <c r="L722" i="18"/>
  <c r="L723" i="18"/>
  <c r="L724" i="18"/>
  <c r="L725" i="18"/>
  <c r="L726" i="18"/>
  <c r="L727" i="18"/>
  <c r="L728" i="18"/>
  <c r="L729" i="18"/>
  <c r="L730" i="18"/>
  <c r="L731" i="18"/>
  <c r="L732" i="18"/>
  <c r="L733" i="18"/>
  <c r="L734" i="18"/>
  <c r="L735" i="18"/>
  <c r="L736" i="18"/>
  <c r="L737" i="18"/>
  <c r="L738" i="18"/>
  <c r="L739" i="18"/>
  <c r="L740" i="18"/>
  <c r="L741" i="18"/>
  <c r="L742" i="18"/>
  <c r="L743" i="18"/>
  <c r="L744" i="18"/>
  <c r="L745" i="18"/>
  <c r="L746" i="18"/>
  <c r="L747" i="18"/>
  <c r="L748" i="18"/>
  <c r="L749" i="18"/>
  <c r="L750" i="18"/>
  <c r="L751" i="18"/>
  <c r="L752" i="18"/>
  <c r="L753" i="18"/>
  <c r="L754" i="18"/>
  <c r="L755" i="18"/>
  <c r="L756" i="18"/>
  <c r="L757" i="18"/>
  <c r="L758" i="18"/>
  <c r="L759" i="18"/>
  <c r="L760" i="18"/>
  <c r="L761" i="18"/>
  <c r="L762" i="18"/>
  <c r="L763" i="18"/>
  <c r="L764" i="18"/>
  <c r="L765" i="18"/>
  <c r="L766" i="18"/>
  <c r="L767" i="18"/>
  <c r="L768" i="18"/>
  <c r="L769" i="18"/>
  <c r="L770" i="18"/>
  <c r="L771" i="18"/>
  <c r="L772" i="18"/>
  <c r="L773" i="18"/>
  <c r="L774" i="18"/>
  <c r="L775" i="18"/>
  <c r="L776" i="18"/>
  <c r="L777" i="18"/>
  <c r="L778" i="18"/>
  <c r="L779" i="18"/>
  <c r="L780" i="18"/>
  <c r="L781" i="18"/>
  <c r="L782" i="18"/>
  <c r="L783" i="18"/>
  <c r="L784" i="18"/>
  <c r="L785" i="18"/>
  <c r="L786" i="18"/>
  <c r="L787" i="18"/>
  <c r="L788" i="18"/>
  <c r="L789" i="18"/>
  <c r="L790" i="18"/>
  <c r="L791" i="18"/>
  <c r="L792" i="18"/>
  <c r="L793" i="18"/>
  <c r="L794" i="18"/>
  <c r="L795" i="18"/>
  <c r="L796" i="18"/>
  <c r="L797" i="18"/>
  <c r="L798" i="18"/>
  <c r="L799" i="18"/>
  <c r="L800" i="18"/>
  <c r="L801" i="18"/>
  <c r="L802" i="18"/>
  <c r="L803" i="18"/>
  <c r="L804" i="18"/>
  <c r="L805" i="18"/>
  <c r="L806" i="18"/>
  <c r="L807" i="18"/>
  <c r="L808" i="18"/>
  <c r="L809" i="18"/>
  <c r="L810" i="18"/>
  <c r="L811" i="18"/>
  <c r="L812" i="18"/>
  <c r="L813" i="18"/>
  <c r="L814" i="18"/>
  <c r="L815" i="18"/>
  <c r="L816" i="18"/>
  <c r="L817" i="18"/>
  <c r="L818" i="18"/>
  <c r="L819" i="18"/>
  <c r="L820" i="18"/>
  <c r="L821" i="18"/>
  <c r="L822" i="18"/>
  <c r="L823" i="18"/>
  <c r="L824" i="18"/>
  <c r="L825" i="18"/>
  <c r="L826" i="18"/>
  <c r="L827" i="18"/>
  <c r="L828" i="18"/>
  <c r="L829" i="18"/>
  <c r="L830" i="18"/>
  <c r="L831" i="18"/>
  <c r="L832" i="18"/>
  <c r="L833" i="18"/>
  <c r="L834" i="18"/>
  <c r="L835" i="18"/>
  <c r="L836" i="18"/>
  <c r="L837" i="18"/>
  <c r="L838" i="18"/>
  <c r="L839" i="18"/>
  <c r="L840" i="18"/>
  <c r="L841" i="18"/>
  <c r="L842" i="18"/>
  <c r="L843" i="18"/>
  <c r="L844" i="18"/>
  <c r="L845" i="18"/>
  <c r="L846" i="18"/>
  <c r="L847" i="18"/>
  <c r="L848" i="18"/>
  <c r="L849" i="18"/>
  <c r="L850" i="18"/>
  <c r="L851" i="18"/>
  <c r="L852" i="18"/>
  <c r="L853" i="18"/>
  <c r="L854" i="18"/>
  <c r="L855" i="18"/>
  <c r="L856" i="18"/>
  <c r="L857" i="18"/>
  <c r="L858" i="18"/>
  <c r="L859" i="18"/>
  <c r="L860" i="18"/>
  <c r="L861" i="18"/>
  <c r="L862" i="18"/>
  <c r="L863" i="18"/>
  <c r="L864" i="18"/>
  <c r="L865" i="18"/>
  <c r="L866" i="18"/>
  <c r="L867" i="18"/>
  <c r="L868" i="18"/>
  <c r="L869" i="18"/>
  <c r="L870" i="18"/>
  <c r="L871" i="18"/>
  <c r="L872" i="18"/>
  <c r="L873" i="18"/>
  <c r="L874" i="18"/>
  <c r="L875" i="18"/>
  <c r="L876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4" i="18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9" i="17"/>
  <c r="M260" i="18" l="1"/>
  <c r="M863" i="18"/>
  <c r="M52" i="18"/>
  <c r="M849" i="18"/>
  <c r="M809" i="18"/>
  <c r="M745" i="18"/>
  <c r="M679" i="18"/>
  <c r="M68" i="18"/>
  <c r="M872" i="18"/>
  <c r="M864" i="18"/>
  <c r="M856" i="18"/>
  <c r="M848" i="18"/>
  <c r="M840" i="18"/>
  <c r="M832" i="18"/>
  <c r="M824" i="18"/>
  <c r="M816" i="18"/>
  <c r="M808" i="18"/>
  <c r="M800" i="18"/>
  <c r="M792" i="18"/>
  <c r="M784" i="18"/>
  <c r="M776" i="18"/>
  <c r="M768" i="18"/>
  <c r="M760" i="18"/>
  <c r="M752" i="18"/>
  <c r="M744" i="18"/>
  <c r="M736" i="18"/>
  <c r="M728" i="18"/>
  <c r="M720" i="18"/>
  <c r="M712" i="18"/>
  <c r="M704" i="18"/>
  <c r="M696" i="18"/>
  <c r="M688" i="18"/>
  <c r="M676" i="18"/>
  <c r="M636" i="18"/>
  <c r="M572" i="18"/>
  <c r="M508" i="18"/>
  <c r="M444" i="18"/>
  <c r="M380" i="18"/>
  <c r="M316" i="18"/>
  <c r="M252" i="18"/>
  <c r="M188" i="18"/>
  <c r="M124" i="18"/>
  <c r="M60" i="18"/>
  <c r="M833" i="18"/>
  <c r="M801" i="18"/>
  <c r="M753" i="18"/>
  <c r="M713" i="18"/>
  <c r="M516" i="18"/>
  <c r="M452" i="18"/>
  <c r="M871" i="18"/>
  <c r="M855" i="18"/>
  <c r="M847" i="18"/>
  <c r="M839" i="18"/>
  <c r="M831" i="18"/>
  <c r="M823" i="18"/>
  <c r="M815" i="18"/>
  <c r="M807" i="18"/>
  <c r="M799" i="18"/>
  <c r="M791" i="18"/>
  <c r="M783" i="18"/>
  <c r="M775" i="18"/>
  <c r="M767" i="18"/>
  <c r="M759" i="18"/>
  <c r="M751" i="18"/>
  <c r="M743" i="18"/>
  <c r="M735" i="18"/>
  <c r="M727" i="18"/>
  <c r="M719" i="18"/>
  <c r="M711" i="18"/>
  <c r="M703" i="18"/>
  <c r="M695" i="18"/>
  <c r="M687" i="18"/>
  <c r="M673" i="18"/>
  <c r="M628" i="18"/>
  <c r="M564" i="18"/>
  <c r="M500" i="18"/>
  <c r="M436" i="18"/>
  <c r="M372" i="18"/>
  <c r="M308" i="18"/>
  <c r="M244" i="18"/>
  <c r="M180" i="18"/>
  <c r="M116" i="18"/>
  <c r="M865" i="18"/>
  <c r="M785" i="18"/>
  <c r="M729" i="18"/>
  <c r="M644" i="18"/>
  <c r="M388" i="18"/>
  <c r="M5" i="18"/>
  <c r="M13" i="18"/>
  <c r="M21" i="18"/>
  <c r="M29" i="18"/>
  <c r="M37" i="18"/>
  <c r="M45" i="18"/>
  <c r="M53" i="18"/>
  <c r="M61" i="18"/>
  <c r="M69" i="18"/>
  <c r="M77" i="18"/>
  <c r="M85" i="18"/>
  <c r="M93" i="18"/>
  <c r="M101" i="18"/>
  <c r="M109" i="18"/>
  <c r="M117" i="18"/>
  <c r="M125" i="18"/>
  <c r="M133" i="18"/>
  <c r="M141" i="18"/>
  <c r="M149" i="18"/>
  <c r="M157" i="18"/>
  <c r="M165" i="18"/>
  <c r="M173" i="18"/>
  <c r="M181" i="18"/>
  <c r="M189" i="18"/>
  <c r="M197" i="18"/>
  <c r="M205" i="18"/>
  <c r="M213" i="18"/>
  <c r="M221" i="18"/>
  <c r="M229" i="18"/>
  <c r="M237" i="18"/>
  <c r="M245" i="18"/>
  <c r="M253" i="18"/>
  <c r="M261" i="18"/>
  <c r="M269" i="18"/>
  <c r="M277" i="18"/>
  <c r="M285" i="18"/>
  <c r="M293" i="18"/>
  <c r="M301" i="18"/>
  <c r="M309" i="18"/>
  <c r="M317" i="18"/>
  <c r="M325" i="18"/>
  <c r="M333" i="18"/>
  <c r="M341" i="18"/>
  <c r="M349" i="18"/>
  <c r="M357" i="18"/>
  <c r="M365" i="18"/>
  <c r="M373" i="18"/>
  <c r="M381" i="18"/>
  <c r="M389" i="18"/>
  <c r="M397" i="18"/>
  <c r="M405" i="18"/>
  <c r="M413" i="18"/>
  <c r="M421" i="18"/>
  <c r="M429" i="18"/>
  <c r="M437" i="18"/>
  <c r="M445" i="18"/>
  <c r="M453" i="18"/>
  <c r="M461" i="18"/>
  <c r="M469" i="18"/>
  <c r="M477" i="18"/>
  <c r="M485" i="18"/>
  <c r="M493" i="18"/>
  <c r="M501" i="18"/>
  <c r="M509" i="18"/>
  <c r="M517" i="18"/>
  <c r="M525" i="18"/>
  <c r="M533" i="18"/>
  <c r="M541" i="18"/>
  <c r="M549" i="18"/>
  <c r="M557" i="18"/>
  <c r="M565" i="18"/>
  <c r="M573" i="18"/>
  <c r="M581" i="18"/>
  <c r="M589" i="18"/>
  <c r="M597" i="18"/>
  <c r="M605" i="18"/>
  <c r="M613" i="18"/>
  <c r="M621" i="18"/>
  <c r="M629" i="18"/>
  <c r="M637" i="18"/>
  <c r="M645" i="18"/>
  <c r="M653" i="18"/>
  <c r="M661" i="18"/>
  <c r="M669" i="18"/>
  <c r="M677" i="18"/>
  <c r="M6" i="18"/>
  <c r="M14" i="18"/>
  <c r="M22" i="18"/>
  <c r="M30" i="18"/>
  <c r="M38" i="18"/>
  <c r="M46" i="18"/>
  <c r="M54" i="18"/>
  <c r="M62" i="18"/>
  <c r="M70" i="18"/>
  <c r="M78" i="18"/>
  <c r="M86" i="18"/>
  <c r="M94" i="18"/>
  <c r="M102" i="18"/>
  <c r="M110" i="18"/>
  <c r="M118" i="18"/>
  <c r="M126" i="18"/>
  <c r="M134" i="18"/>
  <c r="M142" i="18"/>
  <c r="M150" i="18"/>
  <c r="M158" i="18"/>
  <c r="M166" i="18"/>
  <c r="M174" i="18"/>
  <c r="M182" i="18"/>
  <c r="M190" i="18"/>
  <c r="M198" i="18"/>
  <c r="M206" i="18"/>
  <c r="M214" i="18"/>
  <c r="M222" i="18"/>
  <c r="M230" i="18"/>
  <c r="M238" i="18"/>
  <c r="M246" i="18"/>
  <c r="M254" i="18"/>
  <c r="M262" i="18"/>
  <c r="M270" i="18"/>
  <c r="M278" i="18"/>
  <c r="M286" i="18"/>
  <c r="M294" i="18"/>
  <c r="M302" i="18"/>
  <c r="M310" i="18"/>
  <c r="M318" i="18"/>
  <c r="M326" i="18"/>
  <c r="M334" i="18"/>
  <c r="M342" i="18"/>
  <c r="M350" i="18"/>
  <c r="M358" i="18"/>
  <c r="M366" i="18"/>
  <c r="M374" i="18"/>
  <c r="M382" i="18"/>
  <c r="M390" i="18"/>
  <c r="M398" i="18"/>
  <c r="M406" i="18"/>
  <c r="M414" i="18"/>
  <c r="M422" i="18"/>
  <c r="M430" i="18"/>
  <c r="M438" i="18"/>
  <c r="M446" i="18"/>
  <c r="M454" i="18"/>
  <c r="M462" i="18"/>
  <c r="M470" i="18"/>
  <c r="M478" i="18"/>
  <c r="M486" i="18"/>
  <c r="M494" i="18"/>
  <c r="M502" i="18"/>
  <c r="M510" i="18"/>
  <c r="M518" i="18"/>
  <c r="M526" i="18"/>
  <c r="M534" i="18"/>
  <c r="M542" i="18"/>
  <c r="M550" i="18"/>
  <c r="M558" i="18"/>
  <c r="M566" i="18"/>
  <c r="M574" i="18"/>
  <c r="M582" i="18"/>
  <c r="M590" i="18"/>
  <c r="M598" i="18"/>
  <c r="M606" i="18"/>
  <c r="M614" i="18"/>
  <c r="M622" i="18"/>
  <c r="M630" i="18"/>
  <c r="M638" i="18"/>
  <c r="M646" i="18"/>
  <c r="M654" i="18"/>
  <c r="M662" i="18"/>
  <c r="M670" i="18"/>
  <c r="M678" i="18"/>
  <c r="M7" i="18"/>
  <c r="M15" i="18"/>
  <c r="M23" i="18"/>
  <c r="M31" i="18"/>
  <c r="M39" i="18"/>
  <c r="M47" i="18"/>
  <c r="M55" i="18"/>
  <c r="M63" i="18"/>
  <c r="M71" i="18"/>
  <c r="M79" i="18"/>
  <c r="M87" i="18"/>
  <c r="M95" i="18"/>
  <c r="M103" i="18"/>
  <c r="M111" i="18"/>
  <c r="M119" i="18"/>
  <c r="M127" i="18"/>
  <c r="M135" i="18"/>
  <c r="M143" i="18"/>
  <c r="M151" i="18"/>
  <c r="M159" i="18"/>
  <c r="M167" i="18"/>
  <c r="M175" i="18"/>
  <c r="M183" i="18"/>
  <c r="M191" i="18"/>
  <c r="M199" i="18"/>
  <c r="M207" i="18"/>
  <c r="M215" i="18"/>
  <c r="M223" i="18"/>
  <c r="M231" i="18"/>
  <c r="M239" i="18"/>
  <c r="M247" i="18"/>
  <c r="M255" i="18"/>
  <c r="M263" i="18"/>
  <c r="M271" i="18"/>
  <c r="M279" i="18"/>
  <c r="M287" i="18"/>
  <c r="M295" i="18"/>
  <c r="M303" i="18"/>
  <c r="M311" i="18"/>
  <c r="M319" i="18"/>
  <c r="M327" i="18"/>
  <c r="M335" i="18"/>
  <c r="M343" i="18"/>
  <c r="M351" i="18"/>
  <c r="M359" i="18"/>
  <c r="M367" i="18"/>
  <c r="M375" i="18"/>
  <c r="M383" i="18"/>
  <c r="M391" i="18"/>
  <c r="M399" i="18"/>
  <c r="M407" i="18"/>
  <c r="M415" i="18"/>
  <c r="M423" i="18"/>
  <c r="M431" i="18"/>
  <c r="M439" i="18"/>
  <c r="M447" i="18"/>
  <c r="M455" i="18"/>
  <c r="M463" i="18"/>
  <c r="M471" i="18"/>
  <c r="M479" i="18"/>
  <c r="M487" i="18"/>
  <c r="M495" i="18"/>
  <c r="M503" i="18"/>
  <c r="M511" i="18"/>
  <c r="M519" i="18"/>
  <c r="M527" i="18"/>
  <c r="M535" i="18"/>
  <c r="M543" i="18"/>
  <c r="M551" i="18"/>
  <c r="M559" i="18"/>
  <c r="M567" i="18"/>
  <c r="M575" i="18"/>
  <c r="M583" i="18"/>
  <c r="M591" i="18"/>
  <c r="M599" i="18"/>
  <c r="M607" i="18"/>
  <c r="M615" i="18"/>
  <c r="M623" i="18"/>
  <c r="M631" i="18"/>
  <c r="M639" i="18"/>
  <c r="M647" i="18"/>
  <c r="M655" i="18"/>
  <c r="M8" i="18"/>
  <c r="M16" i="18"/>
  <c r="M24" i="18"/>
  <c r="M32" i="18"/>
  <c r="M40" i="18"/>
  <c r="M48" i="18"/>
  <c r="M56" i="18"/>
  <c r="M64" i="18"/>
  <c r="M72" i="18"/>
  <c r="M80" i="18"/>
  <c r="M88" i="18"/>
  <c r="M96" i="18"/>
  <c r="M104" i="18"/>
  <c r="M112" i="18"/>
  <c r="M120" i="18"/>
  <c r="M128" i="18"/>
  <c r="M136" i="18"/>
  <c r="M144" i="18"/>
  <c r="M152" i="18"/>
  <c r="M160" i="18"/>
  <c r="M168" i="18"/>
  <c r="M176" i="18"/>
  <c r="M184" i="18"/>
  <c r="M192" i="18"/>
  <c r="M200" i="18"/>
  <c r="M208" i="18"/>
  <c r="M216" i="18"/>
  <c r="M224" i="18"/>
  <c r="M232" i="18"/>
  <c r="M240" i="18"/>
  <c r="M248" i="18"/>
  <c r="M256" i="18"/>
  <c r="M264" i="18"/>
  <c r="M272" i="18"/>
  <c r="M280" i="18"/>
  <c r="M288" i="18"/>
  <c r="M296" i="18"/>
  <c r="M304" i="18"/>
  <c r="M312" i="18"/>
  <c r="M320" i="18"/>
  <c r="M328" i="18"/>
  <c r="M336" i="18"/>
  <c r="M344" i="18"/>
  <c r="M352" i="18"/>
  <c r="M360" i="18"/>
  <c r="M368" i="18"/>
  <c r="M376" i="18"/>
  <c r="M384" i="18"/>
  <c r="M392" i="18"/>
  <c r="M400" i="18"/>
  <c r="M408" i="18"/>
  <c r="M416" i="18"/>
  <c r="M424" i="18"/>
  <c r="M432" i="18"/>
  <c r="M440" i="18"/>
  <c r="M448" i="18"/>
  <c r="M456" i="18"/>
  <c r="M464" i="18"/>
  <c r="M472" i="18"/>
  <c r="M480" i="18"/>
  <c r="M488" i="18"/>
  <c r="M496" i="18"/>
  <c r="M504" i="18"/>
  <c r="M512" i="18"/>
  <c r="M520" i="18"/>
  <c r="M528" i="18"/>
  <c r="M536" i="18"/>
  <c r="M544" i="18"/>
  <c r="M552" i="18"/>
  <c r="M560" i="18"/>
  <c r="M568" i="18"/>
  <c r="M576" i="18"/>
  <c r="M584" i="18"/>
  <c r="M592" i="18"/>
  <c r="M600" i="18"/>
  <c r="M608" i="18"/>
  <c r="M616" i="18"/>
  <c r="M624" i="18"/>
  <c r="M632" i="18"/>
  <c r="M640" i="18"/>
  <c r="M648" i="18"/>
  <c r="M656" i="18"/>
  <c r="M664" i="18"/>
  <c r="M672" i="18"/>
  <c r="M680" i="18"/>
  <c r="M9" i="18"/>
  <c r="M17" i="18"/>
  <c r="M25" i="18"/>
  <c r="M33" i="18"/>
  <c r="M41" i="18"/>
  <c r="M49" i="18"/>
  <c r="M57" i="18"/>
  <c r="M65" i="18"/>
  <c r="M73" i="18"/>
  <c r="M81" i="18"/>
  <c r="M89" i="18"/>
  <c r="M97" i="18"/>
  <c r="M105" i="18"/>
  <c r="M113" i="18"/>
  <c r="M121" i="18"/>
  <c r="M129" i="18"/>
  <c r="M137" i="18"/>
  <c r="M145" i="18"/>
  <c r="M153" i="18"/>
  <c r="M161" i="18"/>
  <c r="M169" i="18"/>
  <c r="M177" i="18"/>
  <c r="M185" i="18"/>
  <c r="M193" i="18"/>
  <c r="M201" i="18"/>
  <c r="M209" i="18"/>
  <c r="M217" i="18"/>
  <c r="M225" i="18"/>
  <c r="M233" i="18"/>
  <c r="M241" i="18"/>
  <c r="M249" i="18"/>
  <c r="M257" i="18"/>
  <c r="M265" i="18"/>
  <c r="M273" i="18"/>
  <c r="M281" i="18"/>
  <c r="M289" i="18"/>
  <c r="M297" i="18"/>
  <c r="M305" i="18"/>
  <c r="M313" i="18"/>
  <c r="M321" i="18"/>
  <c r="M329" i="18"/>
  <c r="M337" i="18"/>
  <c r="M345" i="18"/>
  <c r="M353" i="18"/>
  <c r="M361" i="18"/>
  <c r="M369" i="18"/>
  <c r="M377" i="18"/>
  <c r="M385" i="18"/>
  <c r="M393" i="18"/>
  <c r="M401" i="18"/>
  <c r="M409" i="18"/>
  <c r="M417" i="18"/>
  <c r="M425" i="18"/>
  <c r="M433" i="18"/>
  <c r="M441" i="18"/>
  <c r="M449" i="18"/>
  <c r="M457" i="18"/>
  <c r="M465" i="18"/>
  <c r="M473" i="18"/>
  <c r="M481" i="18"/>
  <c r="M489" i="18"/>
  <c r="M497" i="18"/>
  <c r="M505" i="18"/>
  <c r="M513" i="18"/>
  <c r="M521" i="18"/>
  <c r="M529" i="18"/>
  <c r="M537" i="18"/>
  <c r="M545" i="18"/>
  <c r="M553" i="18"/>
  <c r="M561" i="18"/>
  <c r="M569" i="18"/>
  <c r="M577" i="18"/>
  <c r="M585" i="18"/>
  <c r="M593" i="18"/>
  <c r="M601" i="18"/>
  <c r="M609" i="18"/>
  <c r="M617" i="18"/>
  <c r="M625" i="18"/>
  <c r="M633" i="18"/>
  <c r="M641" i="18"/>
  <c r="M649" i="18"/>
  <c r="M657" i="18"/>
  <c r="M665" i="18"/>
  <c r="M10" i="18"/>
  <c r="M18" i="18"/>
  <c r="M26" i="18"/>
  <c r="M34" i="18"/>
  <c r="M42" i="18"/>
  <c r="M50" i="18"/>
  <c r="M58" i="18"/>
  <c r="M66" i="18"/>
  <c r="M74" i="18"/>
  <c r="M82" i="18"/>
  <c r="M90" i="18"/>
  <c r="M98" i="18"/>
  <c r="M106" i="18"/>
  <c r="M114" i="18"/>
  <c r="M122" i="18"/>
  <c r="M130" i="18"/>
  <c r="M138" i="18"/>
  <c r="M146" i="18"/>
  <c r="M154" i="18"/>
  <c r="M162" i="18"/>
  <c r="M170" i="18"/>
  <c r="M178" i="18"/>
  <c r="M186" i="18"/>
  <c r="M194" i="18"/>
  <c r="M202" i="18"/>
  <c r="M210" i="18"/>
  <c r="M218" i="18"/>
  <c r="M226" i="18"/>
  <c r="M234" i="18"/>
  <c r="M242" i="18"/>
  <c r="M250" i="18"/>
  <c r="M258" i="18"/>
  <c r="M266" i="18"/>
  <c r="M274" i="18"/>
  <c r="M282" i="18"/>
  <c r="M290" i="18"/>
  <c r="M298" i="18"/>
  <c r="M306" i="18"/>
  <c r="M314" i="18"/>
  <c r="M322" i="18"/>
  <c r="M330" i="18"/>
  <c r="M338" i="18"/>
  <c r="M346" i="18"/>
  <c r="M354" i="18"/>
  <c r="M362" i="18"/>
  <c r="M370" i="18"/>
  <c r="M378" i="18"/>
  <c r="M386" i="18"/>
  <c r="M394" i="18"/>
  <c r="M402" i="18"/>
  <c r="M410" i="18"/>
  <c r="M418" i="18"/>
  <c r="M426" i="18"/>
  <c r="M434" i="18"/>
  <c r="M442" i="18"/>
  <c r="M450" i="18"/>
  <c r="M458" i="18"/>
  <c r="M466" i="18"/>
  <c r="M474" i="18"/>
  <c r="M482" i="18"/>
  <c r="M490" i="18"/>
  <c r="M498" i="18"/>
  <c r="M506" i="18"/>
  <c r="M514" i="18"/>
  <c r="M522" i="18"/>
  <c r="M530" i="18"/>
  <c r="M538" i="18"/>
  <c r="M546" i="18"/>
  <c r="M554" i="18"/>
  <c r="M562" i="18"/>
  <c r="M570" i="18"/>
  <c r="M578" i="18"/>
  <c r="M586" i="18"/>
  <c r="M594" i="18"/>
  <c r="M602" i="18"/>
  <c r="M610" i="18"/>
  <c r="M618" i="18"/>
  <c r="M626" i="18"/>
  <c r="M634" i="18"/>
  <c r="M642" i="18"/>
  <c r="M650" i="18"/>
  <c r="M658" i="18"/>
  <c r="M666" i="18"/>
  <c r="M674" i="18"/>
  <c r="M11" i="18"/>
  <c r="M19" i="18"/>
  <c r="M27" i="18"/>
  <c r="M35" i="18"/>
  <c r="M43" i="18"/>
  <c r="M51" i="18"/>
  <c r="M59" i="18"/>
  <c r="M67" i="18"/>
  <c r="M75" i="18"/>
  <c r="M83" i="18"/>
  <c r="M91" i="18"/>
  <c r="M99" i="18"/>
  <c r="M107" i="18"/>
  <c r="M115" i="18"/>
  <c r="M123" i="18"/>
  <c r="M131" i="18"/>
  <c r="M139" i="18"/>
  <c r="M147" i="18"/>
  <c r="M155" i="18"/>
  <c r="M163" i="18"/>
  <c r="M171" i="18"/>
  <c r="M179" i="18"/>
  <c r="M187" i="18"/>
  <c r="M195" i="18"/>
  <c r="M203" i="18"/>
  <c r="M211" i="18"/>
  <c r="M219" i="18"/>
  <c r="M227" i="18"/>
  <c r="M235" i="18"/>
  <c r="M243" i="18"/>
  <c r="M251" i="18"/>
  <c r="M259" i="18"/>
  <c r="M267" i="18"/>
  <c r="M275" i="18"/>
  <c r="M283" i="18"/>
  <c r="M291" i="18"/>
  <c r="M299" i="18"/>
  <c r="M307" i="18"/>
  <c r="M315" i="18"/>
  <c r="M323" i="18"/>
  <c r="M331" i="18"/>
  <c r="M339" i="18"/>
  <c r="M347" i="18"/>
  <c r="M355" i="18"/>
  <c r="M363" i="18"/>
  <c r="M371" i="18"/>
  <c r="M379" i="18"/>
  <c r="M387" i="18"/>
  <c r="M395" i="18"/>
  <c r="M403" i="18"/>
  <c r="M411" i="18"/>
  <c r="M419" i="18"/>
  <c r="M427" i="18"/>
  <c r="M435" i="18"/>
  <c r="M443" i="18"/>
  <c r="M451" i="18"/>
  <c r="M459" i="18"/>
  <c r="M467" i="18"/>
  <c r="M475" i="18"/>
  <c r="M483" i="18"/>
  <c r="M491" i="18"/>
  <c r="M499" i="18"/>
  <c r="M507" i="18"/>
  <c r="M515" i="18"/>
  <c r="M523" i="18"/>
  <c r="M531" i="18"/>
  <c r="M539" i="18"/>
  <c r="M547" i="18"/>
  <c r="M555" i="18"/>
  <c r="M563" i="18"/>
  <c r="M571" i="18"/>
  <c r="M579" i="18"/>
  <c r="M587" i="18"/>
  <c r="M595" i="18"/>
  <c r="M603" i="18"/>
  <c r="M611" i="18"/>
  <c r="M619" i="18"/>
  <c r="M627" i="18"/>
  <c r="M635" i="18"/>
  <c r="M643" i="18"/>
  <c r="M651" i="18"/>
  <c r="M659" i="18"/>
  <c r="M667" i="18"/>
  <c r="M675" i="18"/>
  <c r="M683" i="18"/>
  <c r="M870" i="18"/>
  <c r="M862" i="18"/>
  <c r="M854" i="18"/>
  <c r="M846" i="18"/>
  <c r="M838" i="18"/>
  <c r="M830" i="18"/>
  <c r="M822" i="18"/>
  <c r="M814" i="18"/>
  <c r="M806" i="18"/>
  <c r="M798" i="18"/>
  <c r="M790" i="18"/>
  <c r="M782" i="18"/>
  <c r="M774" i="18"/>
  <c r="M766" i="18"/>
  <c r="M758" i="18"/>
  <c r="M750" i="18"/>
  <c r="M742" i="18"/>
  <c r="M734" i="18"/>
  <c r="M726" i="18"/>
  <c r="M718" i="18"/>
  <c r="M710" i="18"/>
  <c r="M702" i="18"/>
  <c r="M694" i="18"/>
  <c r="M686" i="18"/>
  <c r="M671" i="18"/>
  <c r="M620" i="18"/>
  <c r="M556" i="18"/>
  <c r="M492" i="18"/>
  <c r="M428" i="18"/>
  <c r="M364" i="18"/>
  <c r="M300" i="18"/>
  <c r="M236" i="18"/>
  <c r="M172" i="18"/>
  <c r="M108" i="18"/>
  <c r="M44" i="18"/>
  <c r="M857" i="18"/>
  <c r="M793" i="18"/>
  <c r="M737" i="18"/>
  <c r="M689" i="18"/>
  <c r="M324" i="18"/>
  <c r="M4" i="18"/>
  <c r="M869" i="18"/>
  <c r="M861" i="18"/>
  <c r="M853" i="18"/>
  <c r="M845" i="18"/>
  <c r="M837" i="18"/>
  <c r="M829" i="18"/>
  <c r="M821" i="18"/>
  <c r="M813" i="18"/>
  <c r="M805" i="18"/>
  <c r="M797" i="18"/>
  <c r="M789" i="18"/>
  <c r="M781" i="18"/>
  <c r="M773" i="18"/>
  <c r="M765" i="18"/>
  <c r="M757" i="18"/>
  <c r="M749" i="18"/>
  <c r="M741" i="18"/>
  <c r="M733" i="18"/>
  <c r="M725" i="18"/>
  <c r="M717" i="18"/>
  <c r="M709" i="18"/>
  <c r="M701" i="18"/>
  <c r="M693" i="18"/>
  <c r="M685" i="18"/>
  <c r="M668" i="18"/>
  <c r="M612" i="18"/>
  <c r="M548" i="18"/>
  <c r="M484" i="18"/>
  <c r="M420" i="18"/>
  <c r="M356" i="18"/>
  <c r="M292" i="18"/>
  <c r="M228" i="18"/>
  <c r="M164" i="18"/>
  <c r="M100" i="18"/>
  <c r="M36" i="18"/>
  <c r="M873" i="18"/>
  <c r="M825" i="18"/>
  <c r="M769" i="18"/>
  <c r="M705" i="18"/>
  <c r="M196" i="18"/>
  <c r="M876" i="18"/>
  <c r="M868" i="18"/>
  <c r="M860" i="18"/>
  <c r="M852" i="18"/>
  <c r="M844" i="18"/>
  <c r="M836" i="18"/>
  <c r="M828" i="18"/>
  <c r="M820" i="18"/>
  <c r="M812" i="18"/>
  <c r="M804" i="18"/>
  <c r="M796" i="18"/>
  <c r="M788" i="18"/>
  <c r="M780" i="18"/>
  <c r="M772" i="18"/>
  <c r="M764" i="18"/>
  <c r="M756" i="18"/>
  <c r="M748" i="18"/>
  <c r="M740" i="18"/>
  <c r="M732" i="18"/>
  <c r="M724" i="18"/>
  <c r="M716" i="18"/>
  <c r="M708" i="18"/>
  <c r="M700" i="18"/>
  <c r="M692" i="18"/>
  <c r="M684" i="18"/>
  <c r="M663" i="18"/>
  <c r="M604" i="18"/>
  <c r="M540" i="18"/>
  <c r="M476" i="18"/>
  <c r="M412" i="18"/>
  <c r="M348" i="18"/>
  <c r="M284" i="18"/>
  <c r="M220" i="18"/>
  <c r="M156" i="18"/>
  <c r="M92" i="18"/>
  <c r="M28" i="18"/>
  <c r="M817" i="18"/>
  <c r="M761" i="18"/>
  <c r="M697" i="18"/>
  <c r="M132" i="18"/>
  <c r="M875" i="18"/>
  <c r="M867" i="18"/>
  <c r="M859" i="18"/>
  <c r="M851" i="18"/>
  <c r="M843" i="18"/>
  <c r="M835" i="18"/>
  <c r="M827" i="18"/>
  <c r="M819" i="18"/>
  <c r="M811" i="18"/>
  <c r="M803" i="18"/>
  <c r="M795" i="18"/>
  <c r="M787" i="18"/>
  <c r="M779" i="18"/>
  <c r="M771" i="18"/>
  <c r="M763" i="18"/>
  <c r="M755" i="18"/>
  <c r="M747" i="18"/>
  <c r="M739" i="18"/>
  <c r="M731" i="18"/>
  <c r="M723" i="18"/>
  <c r="M715" i="18"/>
  <c r="M707" i="18"/>
  <c r="M699" i="18"/>
  <c r="M691" i="18"/>
  <c r="M682" i="18"/>
  <c r="M660" i="18"/>
  <c r="M596" i="18"/>
  <c r="M532" i="18"/>
  <c r="M468" i="18"/>
  <c r="M404" i="18"/>
  <c r="M340" i="18"/>
  <c r="M276" i="18"/>
  <c r="M212" i="18"/>
  <c r="M148" i="18"/>
  <c r="M84" i="18"/>
  <c r="M20" i="18"/>
  <c r="M841" i="18"/>
  <c r="M777" i="18"/>
  <c r="M721" i="18"/>
  <c r="M580" i="18"/>
  <c r="M874" i="18"/>
  <c r="M866" i="18"/>
  <c r="M858" i="18"/>
  <c r="M850" i="18"/>
  <c r="M842" i="18"/>
  <c r="M834" i="18"/>
  <c r="M826" i="18"/>
  <c r="M818" i="18"/>
  <c r="M810" i="18"/>
  <c r="M802" i="18"/>
  <c r="M794" i="18"/>
  <c r="M786" i="18"/>
  <c r="M778" i="18"/>
  <c r="M770" i="18"/>
  <c r="M762" i="18"/>
  <c r="M754" i="18"/>
  <c r="M746" i="18"/>
  <c r="M738" i="18"/>
  <c r="M730" i="18"/>
  <c r="M722" i="18"/>
  <c r="M714" i="18"/>
  <c r="M706" i="18"/>
  <c r="M698" i="18"/>
  <c r="M690" i="18"/>
  <c r="M681" i="18"/>
  <c r="M652" i="18"/>
  <c r="M588" i="18"/>
  <c r="M524" i="18"/>
  <c r="M460" i="18"/>
  <c r="M396" i="18"/>
  <c r="M332" i="18"/>
  <c r="M268" i="18"/>
  <c r="M204" i="18"/>
  <c r="M140" i="18"/>
  <c r="M76" i="18"/>
  <c r="M12" i="18"/>
  <c r="K4" i="18"/>
  <c r="E5" i="16"/>
  <c r="E7" i="16"/>
  <c r="E8" i="16"/>
  <c r="E10" i="16"/>
  <c r="E11" i="16"/>
  <c r="E12" i="16"/>
  <c r="E13" i="16"/>
  <c r="E14" i="16"/>
  <c r="E15" i="16"/>
  <c r="E16" i="16"/>
  <c r="E17" i="16"/>
  <c r="E18" i="16"/>
  <c r="E19" i="16"/>
  <c r="K7" i="18"/>
  <c r="E23" i="16"/>
  <c r="E24" i="16"/>
  <c r="E25" i="16"/>
  <c r="E26" i="16"/>
  <c r="K846" i="18" s="1"/>
  <c r="E27" i="16"/>
  <c r="E29" i="16"/>
  <c r="E30" i="16"/>
  <c r="E4" i="16"/>
  <c r="H76" i="1"/>
  <c r="O4" i="18" l="1"/>
  <c r="O7" i="18"/>
  <c r="K99" i="18"/>
  <c r="O99" i="18" s="1"/>
  <c r="K100" i="18"/>
  <c r="O100" i="18" s="1"/>
  <c r="K57" i="18"/>
  <c r="O57" i="18" s="1"/>
  <c r="K58" i="18"/>
  <c r="O58" i="18" s="1"/>
  <c r="K59" i="18"/>
  <c r="O59" i="18" s="1"/>
  <c r="K60" i="18"/>
  <c r="O60" i="18" s="1"/>
  <c r="K61" i="18"/>
  <c r="O61" i="18" s="1"/>
  <c r="K14" i="18"/>
  <c r="O14" i="18" s="1"/>
  <c r="K22" i="18"/>
  <c r="O22" i="18" s="1"/>
  <c r="K171" i="18"/>
  <c r="O171" i="18" s="1"/>
  <c r="K179" i="18"/>
  <c r="O179" i="18" s="1"/>
  <c r="K195" i="18"/>
  <c r="O195" i="18" s="1"/>
  <c r="K254" i="18"/>
  <c r="O254" i="18" s="1"/>
  <c r="K262" i="18"/>
  <c r="O262" i="18" s="1"/>
  <c r="K271" i="18"/>
  <c r="O271" i="18" s="1"/>
  <c r="K321" i="18"/>
  <c r="O321" i="18" s="1"/>
  <c r="K356" i="18"/>
  <c r="O356" i="18" s="1"/>
  <c r="K390" i="18"/>
  <c r="O390" i="18" s="1"/>
  <c r="K423" i="18"/>
  <c r="O423" i="18" s="1"/>
  <c r="K432" i="18"/>
  <c r="O432" i="18" s="1"/>
  <c r="K457" i="18"/>
  <c r="O457" i="18" s="1"/>
  <c r="K473" i="18"/>
  <c r="O473" i="18" s="1"/>
  <c r="K491" i="18"/>
  <c r="O491" i="18" s="1"/>
  <c r="K525" i="18"/>
  <c r="O525" i="18" s="1"/>
  <c r="K557" i="18"/>
  <c r="O557" i="18" s="1"/>
  <c r="K597" i="18"/>
  <c r="O597" i="18" s="1"/>
  <c r="K664" i="18"/>
  <c r="O664" i="18" s="1"/>
  <c r="K680" i="18"/>
  <c r="O680" i="18" s="1"/>
  <c r="K705" i="18"/>
  <c r="O705" i="18" s="1"/>
  <c r="K15" i="18"/>
  <c r="O15" i="18" s="1"/>
  <c r="K23" i="18"/>
  <c r="O23" i="18" s="1"/>
  <c r="K148" i="18"/>
  <c r="O148" i="18" s="1"/>
  <c r="K156" i="18"/>
  <c r="O156" i="18" s="1"/>
  <c r="K172" i="18"/>
  <c r="O172" i="18" s="1"/>
  <c r="K180" i="18"/>
  <c r="O180" i="18" s="1"/>
  <c r="K206" i="18"/>
  <c r="O206" i="18" s="1"/>
  <c r="K263" i="18"/>
  <c r="O263" i="18" s="1"/>
  <c r="K322" i="18"/>
  <c r="O322" i="18" s="1"/>
  <c r="K330" i="18"/>
  <c r="O330" i="18" s="1"/>
  <c r="K357" i="18"/>
  <c r="O357" i="18" s="1"/>
  <c r="K366" i="18"/>
  <c r="O366" i="18" s="1"/>
  <c r="K391" i="18"/>
  <c r="O391" i="18" s="1"/>
  <c r="K407" i="18"/>
  <c r="O407" i="18" s="1"/>
  <c r="K424" i="18"/>
  <c r="O424" i="18" s="1"/>
  <c r="K466" i="18"/>
  <c r="O466" i="18" s="1"/>
  <c r="K474" i="18"/>
  <c r="O474" i="18" s="1"/>
  <c r="K492" i="18"/>
  <c r="O492" i="18" s="1"/>
  <c r="K526" i="18"/>
  <c r="O526" i="18" s="1"/>
  <c r="K84" i="18"/>
  <c r="O84" i="18" s="1"/>
  <c r="K149" i="18"/>
  <c r="O149" i="18" s="1"/>
  <c r="K157" i="18"/>
  <c r="O157" i="18" s="1"/>
  <c r="K173" i="18"/>
  <c r="O173" i="18" s="1"/>
  <c r="K198" i="18"/>
  <c r="O198" i="18" s="1"/>
  <c r="K207" i="18"/>
  <c r="O207" i="18" s="1"/>
  <c r="K264" i="18"/>
  <c r="O264" i="18" s="1"/>
  <c r="K281" i="18"/>
  <c r="O281" i="18" s="1"/>
  <c r="K298" i="18"/>
  <c r="O298" i="18" s="1"/>
  <c r="K331" i="18"/>
  <c r="O331" i="18" s="1"/>
  <c r="K358" i="18"/>
  <c r="O358" i="18" s="1"/>
  <c r="K408" i="18"/>
  <c r="O408" i="18" s="1"/>
  <c r="K467" i="18"/>
  <c r="O467" i="18" s="1"/>
  <c r="K502" i="18"/>
  <c r="O502" i="18" s="1"/>
  <c r="K17" i="18"/>
  <c r="O17" i="18" s="1"/>
  <c r="K85" i="18"/>
  <c r="O85" i="18" s="1"/>
  <c r="K118" i="18"/>
  <c r="O118" i="18" s="1"/>
  <c r="K158" i="18"/>
  <c r="O158" i="18" s="1"/>
  <c r="K208" i="18"/>
  <c r="O208" i="18" s="1"/>
  <c r="K257" i="18"/>
  <c r="O257" i="18" s="1"/>
  <c r="K265" i="18"/>
  <c r="O265" i="18" s="1"/>
  <c r="K282" i="18"/>
  <c r="O282" i="18" s="1"/>
  <c r="K299" i="18"/>
  <c r="O299" i="18" s="1"/>
  <c r="K332" i="18"/>
  <c r="O332" i="18" s="1"/>
  <c r="K401" i="18"/>
  <c r="O401" i="18" s="1"/>
  <c r="K435" i="18"/>
  <c r="O435" i="18" s="1"/>
  <c r="K468" i="18"/>
  <c r="O468" i="18" s="1"/>
  <c r="K477" i="18"/>
  <c r="O477" i="18" s="1"/>
  <c r="K503" i="18"/>
  <c r="O503" i="18" s="1"/>
  <c r="K560" i="18"/>
  <c r="O560" i="18" s="1"/>
  <c r="K635" i="18"/>
  <c r="O635" i="18" s="1"/>
  <c r="K659" i="18"/>
  <c r="O659" i="18" s="1"/>
  <c r="K26" i="18"/>
  <c r="O26" i="18" s="1"/>
  <c r="K51" i="18"/>
  <c r="O51" i="18" s="1"/>
  <c r="K95" i="18"/>
  <c r="O95" i="18" s="1"/>
  <c r="K159" i="18"/>
  <c r="O159" i="18" s="1"/>
  <c r="K250" i="18"/>
  <c r="O250" i="18" s="1"/>
  <c r="K258" i="18"/>
  <c r="O258" i="18" s="1"/>
  <c r="K266" i="18"/>
  <c r="O266" i="18" s="1"/>
  <c r="K283" i="18"/>
  <c r="O283" i="18" s="1"/>
  <c r="K300" i="18"/>
  <c r="O300" i="18" s="1"/>
  <c r="K333" i="18"/>
  <c r="O333" i="18" s="1"/>
  <c r="K341" i="18"/>
  <c r="O341" i="18" s="1"/>
  <c r="K369" i="18"/>
  <c r="O369" i="18" s="1"/>
  <c r="K402" i="18"/>
  <c r="O402" i="18" s="1"/>
  <c r="K411" i="18"/>
  <c r="O411" i="18" s="1"/>
  <c r="K436" i="18"/>
  <c r="O436" i="18" s="1"/>
  <c r="K453" i="18"/>
  <c r="O453" i="18" s="1"/>
  <c r="K561" i="18"/>
  <c r="O561" i="18" s="1"/>
  <c r="K636" i="18"/>
  <c r="O636" i="18" s="1"/>
  <c r="K660" i="18"/>
  <c r="O660" i="18" s="1"/>
  <c r="K20" i="18"/>
  <c r="O20" i="18" s="1"/>
  <c r="K153" i="18"/>
  <c r="O153" i="18" s="1"/>
  <c r="K177" i="18"/>
  <c r="O177" i="18" s="1"/>
  <c r="K193" i="18"/>
  <c r="O193" i="18" s="1"/>
  <c r="K211" i="18"/>
  <c r="O211" i="18" s="1"/>
  <c r="K335" i="18"/>
  <c r="O335" i="18" s="1"/>
  <c r="K388" i="18"/>
  <c r="O388" i="18" s="1"/>
  <c r="K404" i="18"/>
  <c r="O404" i="18" s="1"/>
  <c r="K421" i="18"/>
  <c r="O421" i="18" s="1"/>
  <c r="K489" i="18"/>
  <c r="O489" i="18" s="1"/>
  <c r="K523" i="18"/>
  <c r="O523" i="18" s="1"/>
  <c r="K555" i="18"/>
  <c r="O555" i="18" s="1"/>
  <c r="K595" i="18"/>
  <c r="O595" i="18" s="1"/>
  <c r="K614" i="18"/>
  <c r="O614" i="18" s="1"/>
  <c r="K638" i="18"/>
  <c r="O638" i="18" s="1"/>
  <c r="K662" i="18"/>
  <c r="O662" i="18" s="1"/>
  <c r="K11" i="18"/>
  <c r="O11" i="18" s="1"/>
  <c r="K176" i="18"/>
  <c r="O176" i="18" s="1"/>
  <c r="K342" i="18"/>
  <c r="O342" i="18" s="1"/>
  <c r="K711" i="18"/>
  <c r="O711" i="18" s="1"/>
  <c r="K719" i="18"/>
  <c r="O719" i="18" s="1"/>
  <c r="K769" i="18"/>
  <c r="O769" i="18" s="1"/>
  <c r="K679" i="18"/>
  <c r="O679" i="18" s="1"/>
  <c r="K710" i="18"/>
  <c r="O710" i="18" s="1"/>
  <c r="K46" i="18"/>
  <c r="O46" i="18" s="1"/>
  <c r="K81" i="18"/>
  <c r="O81" i="18" s="1"/>
  <c r="K212" i="18"/>
  <c r="O212" i="18" s="1"/>
  <c r="K345" i="18"/>
  <c r="O345" i="18" s="1"/>
  <c r="K564" i="18"/>
  <c r="O564" i="18" s="1"/>
  <c r="K610" i="18"/>
  <c r="O610" i="18" s="1"/>
  <c r="K683" i="18"/>
  <c r="O683" i="18" s="1"/>
  <c r="K712" i="18"/>
  <c r="O712" i="18" s="1"/>
  <c r="K745" i="18"/>
  <c r="O745" i="18" s="1"/>
  <c r="K849" i="18"/>
  <c r="O849" i="18" s="1"/>
  <c r="K865" i="18"/>
  <c r="O865" i="18" s="1"/>
  <c r="K873" i="18"/>
  <c r="O873" i="18" s="1"/>
  <c r="K203" i="18"/>
  <c r="O203" i="18" s="1"/>
  <c r="K336" i="18"/>
  <c r="O336" i="18" s="1"/>
  <c r="K759" i="18"/>
  <c r="O759" i="18" s="1"/>
  <c r="K284" i="18"/>
  <c r="O284" i="18" s="1"/>
  <c r="K318" i="18"/>
  <c r="O318" i="18" s="1"/>
  <c r="K387" i="18"/>
  <c r="O387" i="18" s="1"/>
  <c r="K454" i="18"/>
  <c r="O454" i="18" s="1"/>
  <c r="K522" i="18"/>
  <c r="O522" i="18" s="1"/>
  <c r="K567" i="18"/>
  <c r="O567" i="18" s="1"/>
  <c r="K613" i="18"/>
  <c r="O613" i="18" s="1"/>
  <c r="K704" i="18"/>
  <c r="O704" i="18" s="1"/>
  <c r="K721" i="18"/>
  <c r="O721" i="18" s="1"/>
  <c r="K746" i="18"/>
  <c r="O746" i="18" s="1"/>
  <c r="K850" i="18"/>
  <c r="O850" i="18" s="1"/>
  <c r="K866" i="18"/>
  <c r="O866" i="18" s="1"/>
  <c r="K874" i="18"/>
  <c r="O874" i="18" s="1"/>
  <c r="K869" i="18"/>
  <c r="O869" i="18" s="1"/>
  <c r="K863" i="18"/>
  <c r="O863" i="18" s="1"/>
  <c r="K21" i="18"/>
  <c r="O21" i="18" s="1"/>
  <c r="K89" i="18"/>
  <c r="O89" i="18" s="1"/>
  <c r="K320" i="18"/>
  <c r="O320" i="18" s="1"/>
  <c r="K355" i="18"/>
  <c r="O355" i="18" s="1"/>
  <c r="K422" i="18"/>
  <c r="O422" i="18" s="1"/>
  <c r="K456" i="18"/>
  <c r="O456" i="18" s="1"/>
  <c r="K490" i="18"/>
  <c r="O490" i="18" s="1"/>
  <c r="K714" i="18"/>
  <c r="O714" i="18" s="1"/>
  <c r="K722" i="18"/>
  <c r="O722" i="18" s="1"/>
  <c r="K755" i="18"/>
  <c r="O755" i="18" s="1"/>
  <c r="K160" i="18"/>
  <c r="O160" i="18" s="1"/>
  <c r="K192" i="18"/>
  <c r="O192" i="18" s="1"/>
  <c r="K594" i="18"/>
  <c r="O594" i="18" s="1"/>
  <c r="K639" i="18"/>
  <c r="O639" i="18" s="1"/>
  <c r="K661" i="18"/>
  <c r="O661" i="18" s="1"/>
  <c r="K687" i="18"/>
  <c r="O687" i="18" s="1"/>
  <c r="K698" i="18"/>
  <c r="O698" i="18" s="1"/>
  <c r="K715" i="18"/>
  <c r="O715" i="18" s="1"/>
  <c r="K748" i="18"/>
  <c r="O748" i="18" s="1"/>
  <c r="K756" i="18"/>
  <c r="O756" i="18" s="1"/>
  <c r="K170" i="18"/>
  <c r="O170" i="18" s="1"/>
  <c r="K98" i="18"/>
  <c r="O98" i="18" s="1"/>
  <c r="K194" i="18"/>
  <c r="O194" i="18" s="1"/>
  <c r="K261" i="18"/>
  <c r="O261" i="18" s="1"/>
  <c r="K295" i="18"/>
  <c r="O295" i="18" s="1"/>
  <c r="K499" i="18"/>
  <c r="O499" i="18" s="1"/>
  <c r="K554" i="18"/>
  <c r="O554" i="18" s="1"/>
  <c r="K596" i="18"/>
  <c r="O596" i="18" s="1"/>
  <c r="K663" i="18"/>
  <c r="O663" i="18" s="1"/>
  <c r="K699" i="18"/>
  <c r="O699" i="18" s="1"/>
  <c r="K708" i="18"/>
  <c r="O708" i="18" s="1"/>
  <c r="K757" i="18"/>
  <c r="O757" i="18" s="1"/>
  <c r="K790" i="18"/>
  <c r="O790" i="18" s="1"/>
  <c r="K806" i="18"/>
  <c r="O806" i="18" s="1"/>
  <c r="K334" i="18"/>
  <c r="O334" i="18" s="1"/>
  <c r="K370" i="18"/>
  <c r="O370" i="18" s="1"/>
  <c r="K403" i="18"/>
  <c r="O403" i="18" s="1"/>
  <c r="K470" i="18"/>
  <c r="O470" i="18" s="1"/>
  <c r="K556" i="18"/>
  <c r="O556" i="18" s="1"/>
  <c r="K665" i="18"/>
  <c r="O665" i="18" s="1"/>
  <c r="K700" i="18"/>
  <c r="O700" i="18" s="1"/>
  <c r="K709" i="18"/>
  <c r="O709" i="18" s="1"/>
  <c r="K758" i="18"/>
  <c r="O758" i="18" s="1"/>
  <c r="K766" i="18"/>
  <c r="O766" i="18" s="1"/>
  <c r="K791" i="18"/>
  <c r="O791" i="18" s="1"/>
  <c r="K807" i="18"/>
  <c r="O807" i="18" s="1"/>
  <c r="K862" i="18"/>
  <c r="O862" i="18" s="1"/>
  <c r="K870" i="18"/>
  <c r="O870" i="18" s="1"/>
  <c r="K187" i="18"/>
  <c r="O187" i="18" s="1"/>
  <c r="K213" i="18"/>
  <c r="O213" i="18" s="1"/>
  <c r="K221" i="18"/>
  <c r="O221" i="18" s="1"/>
  <c r="K229" i="18"/>
  <c r="O229" i="18" s="1"/>
  <c r="K288" i="18"/>
  <c r="O288" i="18" s="1"/>
  <c r="K304" i="18"/>
  <c r="O304" i="18" s="1"/>
  <c r="K337" i="18"/>
  <c r="O337" i="18" s="1"/>
  <c r="K346" i="18"/>
  <c r="O346" i="18" s="1"/>
  <c r="K373" i="18"/>
  <c r="O373" i="18" s="1"/>
  <c r="K398" i="18"/>
  <c r="O398" i="18" s="1"/>
  <c r="K415" i="18"/>
  <c r="O415" i="18" s="1"/>
  <c r="K508" i="18"/>
  <c r="O508" i="18" s="1"/>
  <c r="K533" i="18"/>
  <c r="O533" i="18" s="1"/>
  <c r="K541" i="18"/>
  <c r="O541" i="18" s="1"/>
  <c r="K549" i="18"/>
  <c r="O549" i="18" s="1"/>
  <c r="K565" i="18"/>
  <c r="O565" i="18" s="1"/>
  <c r="K573" i="18"/>
  <c r="O573" i="18" s="1"/>
  <c r="K581" i="18"/>
  <c r="O581" i="18" s="1"/>
  <c r="K689" i="18"/>
  <c r="O689" i="18" s="1"/>
  <c r="K214" i="18"/>
  <c r="O214" i="18" s="1"/>
  <c r="K222" i="18"/>
  <c r="O222" i="18" s="1"/>
  <c r="K272" i="18"/>
  <c r="O272" i="18" s="1"/>
  <c r="K289" i="18"/>
  <c r="O289" i="18" s="1"/>
  <c r="K338" i="18"/>
  <c r="O338" i="18" s="1"/>
  <c r="K534" i="18"/>
  <c r="O534" i="18" s="1"/>
  <c r="K542" i="18"/>
  <c r="O542" i="18" s="1"/>
  <c r="K550" i="18"/>
  <c r="O550" i="18" s="1"/>
  <c r="K566" i="18"/>
  <c r="O566" i="18" s="1"/>
  <c r="K574" i="18"/>
  <c r="O574" i="18" s="1"/>
  <c r="K617" i="18"/>
  <c r="O617" i="18" s="1"/>
  <c r="K16" i="18"/>
  <c r="O16" i="18" s="1"/>
  <c r="K32" i="18"/>
  <c r="O32" i="18" s="1"/>
  <c r="K215" i="18"/>
  <c r="O215" i="18" s="1"/>
  <c r="K223" i="18"/>
  <c r="O223" i="18" s="1"/>
  <c r="K273" i="18"/>
  <c r="O273" i="18" s="1"/>
  <c r="K290" i="18"/>
  <c r="O290" i="18" s="1"/>
  <c r="K9" i="18"/>
  <c r="O9" i="18" s="1"/>
  <c r="K33" i="18"/>
  <c r="O33" i="18" s="1"/>
  <c r="K182" i="18"/>
  <c r="O182" i="18" s="1"/>
  <c r="K216" i="18"/>
  <c r="O216" i="18" s="1"/>
  <c r="K224" i="18"/>
  <c r="O224" i="18" s="1"/>
  <c r="K274" i="18"/>
  <c r="O274" i="18" s="1"/>
  <c r="K291" i="18"/>
  <c r="O291" i="18" s="1"/>
  <c r="K427" i="18"/>
  <c r="O427" i="18" s="1"/>
  <c r="K495" i="18"/>
  <c r="O495" i="18" s="1"/>
  <c r="K536" i="18"/>
  <c r="O536" i="18" s="1"/>
  <c r="K544" i="18"/>
  <c r="O544" i="18" s="1"/>
  <c r="K552" i="18"/>
  <c r="O552" i="18" s="1"/>
  <c r="K568" i="18"/>
  <c r="O568" i="18" s="1"/>
  <c r="K619" i="18"/>
  <c r="O619" i="18" s="1"/>
  <c r="K675" i="18"/>
  <c r="O675" i="18" s="1"/>
  <c r="K684" i="18"/>
  <c r="O684" i="18" s="1"/>
  <c r="K34" i="18"/>
  <c r="O34" i="18" s="1"/>
  <c r="K183" i="18"/>
  <c r="O183" i="18" s="1"/>
  <c r="K200" i="18"/>
  <c r="O200" i="18" s="1"/>
  <c r="K217" i="18"/>
  <c r="O217" i="18" s="1"/>
  <c r="K225" i="18"/>
  <c r="O225" i="18" s="1"/>
  <c r="K275" i="18"/>
  <c r="O275" i="18" s="1"/>
  <c r="K292" i="18"/>
  <c r="O292" i="18" s="1"/>
  <c r="K478" i="18"/>
  <c r="O478" i="18" s="1"/>
  <c r="K496" i="18"/>
  <c r="O496" i="18" s="1"/>
  <c r="K504" i="18"/>
  <c r="O504" i="18" s="1"/>
  <c r="K537" i="18"/>
  <c r="O537" i="18" s="1"/>
  <c r="K553" i="18"/>
  <c r="O553" i="18" s="1"/>
  <c r="K569" i="18"/>
  <c r="O569" i="18" s="1"/>
  <c r="K105" i="18"/>
  <c r="O105" i="18" s="1"/>
  <c r="K185" i="18"/>
  <c r="O185" i="18" s="1"/>
  <c r="K202" i="18"/>
  <c r="O202" i="18" s="1"/>
  <c r="K219" i="18"/>
  <c r="O219" i="18" s="1"/>
  <c r="K227" i="18"/>
  <c r="O227" i="18" s="1"/>
  <c r="K294" i="18"/>
  <c r="O294" i="18" s="1"/>
  <c r="K327" i="18"/>
  <c r="O327" i="18" s="1"/>
  <c r="K363" i="18"/>
  <c r="O363" i="18" s="1"/>
  <c r="K371" i="18"/>
  <c r="O371" i="18" s="1"/>
  <c r="K396" i="18"/>
  <c r="O396" i="18" s="1"/>
  <c r="K413" i="18"/>
  <c r="O413" i="18" s="1"/>
  <c r="K438" i="18"/>
  <c r="O438" i="18" s="1"/>
  <c r="K480" i="18"/>
  <c r="O480" i="18" s="1"/>
  <c r="K506" i="18"/>
  <c r="O506" i="18" s="1"/>
  <c r="K531" i="18"/>
  <c r="O531" i="18" s="1"/>
  <c r="K539" i="18"/>
  <c r="O539" i="18" s="1"/>
  <c r="K571" i="18"/>
  <c r="O571" i="18" s="1"/>
  <c r="K579" i="18"/>
  <c r="O579" i="18" s="1"/>
  <c r="K412" i="18"/>
  <c r="O412" i="18" s="1"/>
  <c r="K479" i="18"/>
  <c r="O479" i="18" s="1"/>
  <c r="K540" i="18"/>
  <c r="O540" i="18" s="1"/>
  <c r="K811" i="18"/>
  <c r="O811" i="18" s="1"/>
  <c r="K824" i="18"/>
  <c r="O824" i="18" s="1"/>
  <c r="K856" i="18"/>
  <c r="O856" i="18" s="1"/>
  <c r="K414" i="18"/>
  <c r="O414" i="18" s="1"/>
  <c r="K481" i="18"/>
  <c r="O481" i="18" s="1"/>
  <c r="K543" i="18"/>
  <c r="O543" i="18" s="1"/>
  <c r="K753" i="18"/>
  <c r="O753" i="18" s="1"/>
  <c r="K770" i="18"/>
  <c r="O770" i="18" s="1"/>
  <c r="K812" i="18"/>
  <c r="O812" i="18" s="1"/>
  <c r="K825" i="18"/>
  <c r="O825" i="18" s="1"/>
  <c r="K303" i="18"/>
  <c r="O303" i="18" s="1"/>
  <c r="K776" i="18"/>
  <c r="O776" i="18" s="1"/>
  <c r="K184" i="18"/>
  <c r="O184" i="18" s="1"/>
  <c r="K685" i="18"/>
  <c r="O685" i="18" s="1"/>
  <c r="K754" i="18"/>
  <c r="O754" i="18" s="1"/>
  <c r="K771" i="18"/>
  <c r="O771" i="18" s="1"/>
  <c r="K813" i="18"/>
  <c r="O813" i="18" s="1"/>
  <c r="K826" i="18"/>
  <c r="O826" i="18" s="1"/>
  <c r="K851" i="18"/>
  <c r="O851" i="18" s="1"/>
  <c r="K810" i="18"/>
  <c r="O810" i="18" s="1"/>
  <c r="K186" i="18"/>
  <c r="O186" i="18" s="1"/>
  <c r="K220" i="18"/>
  <c r="O220" i="18" s="1"/>
  <c r="K287" i="18"/>
  <c r="O287" i="18" s="1"/>
  <c r="K548" i="18"/>
  <c r="O548" i="18" s="1"/>
  <c r="K570" i="18"/>
  <c r="O570" i="18" s="1"/>
  <c r="K686" i="18"/>
  <c r="O686" i="18" s="1"/>
  <c r="K772" i="18"/>
  <c r="O772" i="18" s="1"/>
  <c r="K814" i="18"/>
  <c r="O814" i="18" s="1"/>
  <c r="K827" i="18"/>
  <c r="O827" i="18" s="1"/>
  <c r="K823" i="18"/>
  <c r="O823" i="18" s="1"/>
  <c r="K226" i="18"/>
  <c r="O226" i="18" s="1"/>
  <c r="K293" i="18"/>
  <c r="O293" i="18" s="1"/>
  <c r="K362" i="18"/>
  <c r="O362" i="18" s="1"/>
  <c r="K462" i="18"/>
  <c r="O462" i="18" s="1"/>
  <c r="K551" i="18"/>
  <c r="O551" i="18" s="1"/>
  <c r="K572" i="18"/>
  <c r="O572" i="18" s="1"/>
  <c r="K618" i="18"/>
  <c r="O618" i="18" s="1"/>
  <c r="K773" i="18"/>
  <c r="O773" i="18" s="1"/>
  <c r="K820" i="18"/>
  <c r="O820" i="18" s="1"/>
  <c r="K852" i="18"/>
  <c r="O852" i="18" s="1"/>
  <c r="K538" i="18"/>
  <c r="O538" i="18" s="1"/>
  <c r="K855" i="18"/>
  <c r="O855" i="18" s="1"/>
  <c r="K228" i="18"/>
  <c r="O228" i="18" s="1"/>
  <c r="K397" i="18"/>
  <c r="O397" i="18" s="1"/>
  <c r="K532" i="18"/>
  <c r="O532" i="18" s="1"/>
  <c r="K575" i="18"/>
  <c r="O575" i="18" s="1"/>
  <c r="K688" i="18"/>
  <c r="O688" i="18" s="1"/>
  <c r="K774" i="18"/>
  <c r="O774" i="18" s="1"/>
  <c r="K782" i="18"/>
  <c r="O782" i="18" s="1"/>
  <c r="K821" i="18"/>
  <c r="O821" i="18" s="1"/>
  <c r="K853" i="18"/>
  <c r="O853" i="18" s="1"/>
  <c r="K106" i="18"/>
  <c r="O106" i="18" s="1"/>
  <c r="K372" i="18"/>
  <c r="O372" i="18" s="1"/>
  <c r="K507" i="18"/>
  <c r="O507" i="18" s="1"/>
  <c r="K35" i="18"/>
  <c r="O35" i="18" s="1"/>
  <c r="K201" i="18"/>
  <c r="O201" i="18" s="1"/>
  <c r="K505" i="18"/>
  <c r="O505" i="18" s="1"/>
  <c r="K535" i="18"/>
  <c r="O535" i="18" s="1"/>
  <c r="K578" i="18"/>
  <c r="O578" i="18" s="1"/>
  <c r="K600" i="18"/>
  <c r="O600" i="18" s="1"/>
  <c r="K775" i="18"/>
  <c r="O775" i="18" s="1"/>
  <c r="K783" i="18"/>
  <c r="O783" i="18" s="1"/>
  <c r="K822" i="18"/>
  <c r="O822" i="18" s="1"/>
  <c r="K854" i="18"/>
  <c r="O854" i="18" s="1"/>
  <c r="K580" i="18"/>
  <c r="O580" i="18" s="1"/>
  <c r="K784" i="18"/>
  <c r="O784" i="18" s="1"/>
  <c r="K801" i="18"/>
  <c r="O801" i="18" s="1"/>
  <c r="K713" i="18"/>
  <c r="O713" i="18" s="1"/>
  <c r="K797" i="18"/>
  <c r="O797" i="18" s="1"/>
  <c r="K798" i="18"/>
  <c r="O798" i="18" s="1"/>
  <c r="K800" i="18"/>
  <c r="O800" i="18" s="1"/>
  <c r="K607" i="18"/>
  <c r="O607" i="18" s="1"/>
  <c r="K601" i="18"/>
  <c r="O601" i="18" s="1"/>
  <c r="K602" i="18"/>
  <c r="O602" i="18" s="1"/>
  <c r="K603" i="18"/>
  <c r="O603" i="18" s="1"/>
  <c r="K329" i="18"/>
  <c r="O329" i="18" s="1"/>
  <c r="K465" i="18"/>
  <c r="O465" i="18" s="1"/>
  <c r="K399" i="18"/>
  <c r="O399" i="18" s="1"/>
  <c r="K400" i="18"/>
  <c r="O400" i="18" s="1"/>
  <c r="K18" i="18"/>
  <c r="O18" i="18" s="1"/>
  <c r="K469" i="18"/>
  <c r="O469" i="18" s="1"/>
  <c r="K545" i="18"/>
  <c r="O545" i="18" s="1"/>
  <c r="K260" i="18"/>
  <c r="O260" i="18" s="1"/>
  <c r="K547" i="18"/>
  <c r="O547" i="18" s="1"/>
  <c r="K760" i="18"/>
  <c r="O760" i="18" s="1"/>
  <c r="K761" i="18"/>
  <c r="O761" i="18" s="1"/>
  <c r="K19" i="18"/>
  <c r="O19" i="18" s="1"/>
  <c r="K546" i="18"/>
  <c r="O546" i="18" s="1"/>
  <c r="K673" i="18"/>
  <c r="O673" i="18" s="1"/>
  <c r="K259" i="18"/>
  <c r="O259" i="18" s="1"/>
  <c r="K674" i="18"/>
  <c r="O674" i="18" s="1"/>
  <c r="K328" i="18"/>
  <c r="O328" i="18" s="1"/>
  <c r="K464" i="18"/>
  <c r="O464" i="18" s="1"/>
  <c r="K82" i="18"/>
  <c r="O82" i="18" s="1"/>
  <c r="K83" i="18"/>
  <c r="O83" i="18" s="1"/>
  <c r="K30" i="18"/>
  <c r="O30" i="18" s="1"/>
  <c r="K38" i="18"/>
  <c r="O38" i="18" s="1"/>
  <c r="K55" i="18"/>
  <c r="O55" i="18" s="1"/>
  <c r="K65" i="18"/>
  <c r="O65" i="18" s="1"/>
  <c r="K107" i="18"/>
  <c r="O107" i="18" s="1"/>
  <c r="K115" i="18"/>
  <c r="O115" i="18" s="1"/>
  <c r="K296" i="18"/>
  <c r="O296" i="18" s="1"/>
  <c r="K365" i="18"/>
  <c r="O365" i="18" s="1"/>
  <c r="K482" i="18"/>
  <c r="O482" i="18" s="1"/>
  <c r="K589" i="18"/>
  <c r="O589" i="18" s="1"/>
  <c r="K616" i="18"/>
  <c r="O616" i="18" s="1"/>
  <c r="K39" i="18"/>
  <c r="O39" i="18" s="1"/>
  <c r="K108" i="18"/>
  <c r="O108" i="18" s="1"/>
  <c r="K116" i="18"/>
  <c r="O116" i="18" s="1"/>
  <c r="K349" i="18"/>
  <c r="O349" i="18" s="1"/>
  <c r="K416" i="18"/>
  <c r="O416" i="18" s="1"/>
  <c r="K483" i="18"/>
  <c r="O483" i="18" s="1"/>
  <c r="K582" i="18"/>
  <c r="O582" i="18" s="1"/>
  <c r="K40" i="18"/>
  <c r="O40" i="18" s="1"/>
  <c r="K92" i="18"/>
  <c r="O92" i="18" s="1"/>
  <c r="K109" i="18"/>
  <c r="O109" i="18" s="1"/>
  <c r="K181" i="18"/>
  <c r="O181" i="18" s="1"/>
  <c r="K350" i="18"/>
  <c r="O350" i="18" s="1"/>
  <c r="K41" i="18"/>
  <c r="O41" i="18" s="1"/>
  <c r="K199" i="18"/>
  <c r="O199" i="18" s="1"/>
  <c r="K584" i="18"/>
  <c r="O584" i="18" s="1"/>
  <c r="K43" i="18"/>
  <c r="O43" i="18" s="1"/>
  <c r="K86" i="18"/>
  <c r="O86" i="18" s="1"/>
  <c r="K361" i="18"/>
  <c r="O361" i="18" s="1"/>
  <c r="K428" i="18"/>
  <c r="O428" i="18" s="1"/>
  <c r="K28" i="18"/>
  <c r="O28" i="18" s="1"/>
  <c r="K63" i="18"/>
  <c r="O63" i="18" s="1"/>
  <c r="K113" i="18"/>
  <c r="O113" i="18" s="1"/>
  <c r="K430" i="18"/>
  <c r="O430" i="18" s="1"/>
  <c r="K463" i="18"/>
  <c r="O463" i="18" s="1"/>
  <c r="K112" i="18"/>
  <c r="O112" i="18" s="1"/>
  <c r="K276" i="18"/>
  <c r="O276" i="18" s="1"/>
  <c r="K562" i="18"/>
  <c r="O562" i="18" s="1"/>
  <c r="K583" i="18"/>
  <c r="O583" i="18" s="1"/>
  <c r="K114" i="18"/>
  <c r="O114" i="18" s="1"/>
  <c r="K778" i="18"/>
  <c r="O778" i="18" s="1"/>
  <c r="K794" i="18"/>
  <c r="O794" i="18" s="1"/>
  <c r="K218" i="18"/>
  <c r="O218" i="18" s="1"/>
  <c r="K634" i="18"/>
  <c r="O634" i="18" s="1"/>
  <c r="K762" i="18"/>
  <c r="O762" i="18" s="1"/>
  <c r="K795" i="18"/>
  <c r="O795" i="18" s="1"/>
  <c r="K54" i="18"/>
  <c r="O54" i="18" s="1"/>
  <c r="K615" i="18"/>
  <c r="O615" i="18" s="1"/>
  <c r="K706" i="18"/>
  <c r="O706" i="18" s="1"/>
  <c r="K763" i="18"/>
  <c r="O763" i="18" s="1"/>
  <c r="K796" i="18"/>
  <c r="O796" i="18" s="1"/>
  <c r="K701" i="18"/>
  <c r="O701" i="18" s="1"/>
  <c r="K429" i="18"/>
  <c r="O429" i="18" s="1"/>
  <c r="K497" i="18"/>
  <c r="O497" i="18" s="1"/>
  <c r="K781" i="18"/>
  <c r="O781" i="18" s="1"/>
  <c r="K29" i="18"/>
  <c r="O29" i="18" s="1"/>
  <c r="K64" i="18"/>
  <c r="O64" i="18" s="1"/>
  <c r="K716" i="18"/>
  <c r="O716" i="18" s="1"/>
  <c r="K717" i="18"/>
  <c r="O717" i="18" s="1"/>
  <c r="K799" i="18"/>
  <c r="O799" i="18" s="1"/>
  <c r="K37" i="18"/>
  <c r="O37" i="18" s="1"/>
  <c r="K648" i="18"/>
  <c r="O648" i="18" s="1"/>
  <c r="K656" i="18"/>
  <c r="O656" i="18" s="1"/>
  <c r="K672" i="18"/>
  <c r="O672" i="18" s="1"/>
  <c r="K649" i="18"/>
  <c r="O649" i="18" s="1"/>
  <c r="K657" i="18"/>
  <c r="O657" i="18" s="1"/>
  <c r="K651" i="18"/>
  <c r="O651" i="18" s="1"/>
  <c r="K667" i="18"/>
  <c r="O667" i="18" s="1"/>
  <c r="K692" i="18"/>
  <c r="O692" i="18" s="1"/>
  <c r="K585" i="18"/>
  <c r="O585" i="18" s="1"/>
  <c r="K644" i="18"/>
  <c r="O644" i="18" s="1"/>
  <c r="K652" i="18"/>
  <c r="O652" i="18" s="1"/>
  <c r="K668" i="18"/>
  <c r="O668" i="18" s="1"/>
  <c r="K676" i="18"/>
  <c r="O676" i="18" s="1"/>
  <c r="K587" i="18"/>
  <c r="O587" i="18" s="1"/>
  <c r="K646" i="18"/>
  <c r="O646" i="18" s="1"/>
  <c r="K654" i="18"/>
  <c r="O654" i="18" s="1"/>
  <c r="K650" i="18"/>
  <c r="O650" i="18" s="1"/>
  <c r="K669" i="18"/>
  <c r="O669" i="18" s="1"/>
  <c r="K693" i="18"/>
  <c r="O693" i="18" s="1"/>
  <c r="K727" i="18"/>
  <c r="O727" i="18" s="1"/>
  <c r="K586" i="18"/>
  <c r="O586" i="18" s="1"/>
  <c r="K653" i="18"/>
  <c r="O653" i="18" s="1"/>
  <c r="K670" i="18"/>
  <c r="O670" i="18" s="1"/>
  <c r="K703" i="18"/>
  <c r="O703" i="18" s="1"/>
  <c r="K647" i="18"/>
  <c r="O647" i="18" s="1"/>
  <c r="K588" i="18"/>
  <c r="O588" i="18" s="1"/>
  <c r="K655" i="18"/>
  <c r="O655" i="18" s="1"/>
  <c r="K671" i="18"/>
  <c r="O671" i="18" s="1"/>
  <c r="K658" i="18"/>
  <c r="O658" i="18" s="1"/>
  <c r="K726" i="18"/>
  <c r="O726" i="18" s="1"/>
  <c r="K723" i="18"/>
  <c r="O723" i="18" s="1"/>
  <c r="K724" i="18"/>
  <c r="O724" i="18" s="1"/>
  <c r="K691" i="18"/>
  <c r="O691" i="18" s="1"/>
  <c r="K645" i="18"/>
  <c r="O645" i="18" s="1"/>
  <c r="K690" i="18"/>
  <c r="O690" i="18" s="1"/>
  <c r="K725" i="18"/>
  <c r="O725" i="18" s="1"/>
  <c r="K666" i="18"/>
  <c r="O666" i="18" s="1"/>
  <c r="K101" i="18"/>
  <c r="O101" i="18" s="1"/>
  <c r="K102" i="18"/>
  <c r="O102" i="18" s="1"/>
  <c r="K103" i="18"/>
  <c r="O103" i="18" s="1"/>
  <c r="K104" i="18"/>
  <c r="O104" i="18" s="1"/>
  <c r="K163" i="18"/>
  <c r="O163" i="18" s="1"/>
  <c r="K164" i="18"/>
  <c r="O164" i="18" s="1"/>
  <c r="K165" i="18"/>
  <c r="O165" i="18" s="1"/>
  <c r="K166" i="18"/>
  <c r="O166" i="18" s="1"/>
  <c r="K167" i="18"/>
  <c r="O167" i="18" s="1"/>
  <c r="K161" i="18"/>
  <c r="O161" i="18" s="1"/>
  <c r="K169" i="18"/>
  <c r="O169" i="18" s="1"/>
  <c r="K162" i="18"/>
  <c r="O162" i="18" s="1"/>
  <c r="K168" i="18"/>
  <c r="O168" i="18" s="1"/>
  <c r="K437" i="18"/>
  <c r="O437" i="18" s="1"/>
  <c r="K90" i="18"/>
  <c r="O90" i="18" s="1"/>
  <c r="K91" i="18"/>
  <c r="O91" i="18" s="1"/>
  <c r="K117" i="18"/>
  <c r="O117" i="18" s="1"/>
  <c r="K93" i="18"/>
  <c r="O93" i="18" s="1"/>
  <c r="K110" i="18"/>
  <c r="O110" i="18" s="1"/>
  <c r="K576" i="18"/>
  <c r="O576" i="18" s="1"/>
  <c r="K111" i="18"/>
  <c r="O111" i="18" s="1"/>
  <c r="K577" i="18"/>
  <c r="O577" i="18" s="1"/>
  <c r="K36" i="18"/>
  <c r="O36" i="18" s="1"/>
  <c r="K45" i="18"/>
  <c r="O45" i="18" s="1"/>
  <c r="K53" i="18"/>
  <c r="O53" i="18" s="1"/>
  <c r="K88" i="18"/>
  <c r="O88" i="18" s="1"/>
  <c r="K97" i="18"/>
  <c r="O97" i="18" s="1"/>
  <c r="K604" i="18"/>
  <c r="O604" i="18" s="1"/>
  <c r="K44" i="18"/>
  <c r="O44" i="18" s="1"/>
  <c r="K606" i="18"/>
  <c r="O606" i="18" s="1"/>
  <c r="K777" i="18"/>
  <c r="O777" i="18" s="1"/>
  <c r="K848" i="18"/>
  <c r="O848" i="18" s="1"/>
  <c r="K864" i="18"/>
  <c r="O864" i="18" s="1"/>
  <c r="K872" i="18"/>
  <c r="O872" i="18" s="1"/>
  <c r="K802" i="18"/>
  <c r="O802" i="18" s="1"/>
  <c r="K857" i="18"/>
  <c r="O857" i="18" s="1"/>
  <c r="K52" i="18"/>
  <c r="O52" i="18" s="1"/>
  <c r="K87" i="18"/>
  <c r="O87" i="18" s="1"/>
  <c r="K779" i="18"/>
  <c r="O779" i="18" s="1"/>
  <c r="K858" i="18"/>
  <c r="O858" i="18" s="1"/>
  <c r="K859" i="18"/>
  <c r="O859" i="18" s="1"/>
  <c r="K875" i="18"/>
  <c r="O875" i="18" s="1"/>
  <c r="K876" i="18"/>
  <c r="O876" i="18" s="1"/>
  <c r="K780" i="18"/>
  <c r="O780" i="18" s="1"/>
  <c r="K867" i="18"/>
  <c r="O867" i="18" s="1"/>
  <c r="K868" i="18"/>
  <c r="O868" i="18" s="1"/>
  <c r="K861" i="18"/>
  <c r="O861" i="18" s="1"/>
  <c r="K27" i="18"/>
  <c r="O27" i="18" s="1"/>
  <c r="K96" i="18"/>
  <c r="O96" i="18" s="1"/>
  <c r="K707" i="18"/>
  <c r="O707" i="18" s="1"/>
  <c r="K860" i="18"/>
  <c r="O860" i="18" s="1"/>
  <c r="K871" i="18"/>
  <c r="O871" i="18" s="1"/>
  <c r="K406" i="18"/>
  <c r="O406" i="18" s="1"/>
  <c r="K500" i="18"/>
  <c r="O500" i="18" s="1"/>
  <c r="K433" i="18"/>
  <c r="O433" i="18" s="1"/>
  <c r="K501" i="18"/>
  <c r="O501" i="18" s="1"/>
  <c r="K558" i="18"/>
  <c r="O558" i="18" s="1"/>
  <c r="K24" i="18"/>
  <c r="O24" i="18" s="1"/>
  <c r="K339" i="18"/>
  <c r="O339" i="18" s="1"/>
  <c r="K367" i="18"/>
  <c r="O367" i="18" s="1"/>
  <c r="K434" i="18"/>
  <c r="O434" i="18" s="1"/>
  <c r="K25" i="18"/>
  <c r="O25" i="18" s="1"/>
  <c r="K174" i="18"/>
  <c r="O174" i="18" s="1"/>
  <c r="K340" i="18"/>
  <c r="O340" i="18" s="1"/>
  <c r="K368" i="18"/>
  <c r="O368" i="18" s="1"/>
  <c r="K611" i="18"/>
  <c r="O611" i="18" s="1"/>
  <c r="K175" i="18"/>
  <c r="O175" i="18" s="1"/>
  <c r="K209" i="18"/>
  <c r="O209" i="18" s="1"/>
  <c r="K612" i="18"/>
  <c r="O612" i="18" s="1"/>
  <c r="K80" i="18"/>
  <c r="O80" i="18" s="1"/>
  <c r="K268" i="18"/>
  <c r="O268" i="18" s="1"/>
  <c r="K302" i="18"/>
  <c r="O302" i="18" s="1"/>
  <c r="K471" i="18"/>
  <c r="O471" i="18" s="1"/>
  <c r="K79" i="18"/>
  <c r="O79" i="18" s="1"/>
  <c r="K210" i="18"/>
  <c r="O210" i="18" s="1"/>
  <c r="K472" i="18"/>
  <c r="O472" i="18" s="1"/>
  <c r="K720" i="18"/>
  <c r="O720" i="18" s="1"/>
  <c r="K405" i="18"/>
  <c r="O405" i="18" s="1"/>
  <c r="K804" i="18"/>
  <c r="O804" i="18" s="1"/>
  <c r="K559" i="18"/>
  <c r="O559" i="18" s="1"/>
  <c r="K764" i="18"/>
  <c r="O764" i="18" s="1"/>
  <c r="K805" i="18"/>
  <c r="O805" i="18" s="1"/>
  <c r="K677" i="18"/>
  <c r="O677" i="18" s="1"/>
  <c r="K765" i="18"/>
  <c r="O765" i="18" s="1"/>
  <c r="K267" i="18"/>
  <c r="O267" i="18" s="1"/>
  <c r="K301" i="18"/>
  <c r="O301" i="18" s="1"/>
  <c r="K678" i="18"/>
  <c r="O678" i="18" s="1"/>
  <c r="K139" i="18"/>
  <c r="O139" i="18" s="1"/>
  <c r="K632" i="18"/>
  <c r="O632" i="18" s="1"/>
  <c r="K140" i="18"/>
  <c r="O140" i="18" s="1"/>
  <c r="K633" i="18"/>
  <c r="O633" i="18" s="1"/>
  <c r="K141" i="18"/>
  <c r="O141" i="18" s="1"/>
  <c r="K247" i="18"/>
  <c r="O247" i="18" s="1"/>
  <c r="K450" i="18"/>
  <c r="O450" i="18" s="1"/>
  <c r="K248" i="18"/>
  <c r="O248" i="18" s="1"/>
  <c r="K384" i="18"/>
  <c r="O384" i="18" s="1"/>
  <c r="K451" i="18"/>
  <c r="O451" i="18" s="1"/>
  <c r="K519" i="18"/>
  <c r="O519" i="18" s="1"/>
  <c r="K316" i="18"/>
  <c r="O316" i="18" s="1"/>
  <c r="K385" i="18"/>
  <c r="O385" i="18" s="1"/>
  <c r="K520" i="18"/>
  <c r="O520" i="18" s="1"/>
  <c r="K743" i="18"/>
  <c r="O743" i="18" s="1"/>
  <c r="K138" i="18"/>
  <c r="O138" i="18" s="1"/>
  <c r="K631" i="18"/>
  <c r="O631" i="18" s="1"/>
  <c r="K847" i="18"/>
  <c r="O847" i="18" s="1"/>
  <c r="O846" i="18"/>
  <c r="K147" i="18"/>
  <c r="O147" i="18" s="1"/>
  <c r="K151" i="18"/>
  <c r="O151" i="18" s="1"/>
  <c r="K145" i="18"/>
  <c r="O145" i="18" s="1"/>
  <c r="K793" i="18"/>
  <c r="O793" i="18" s="1"/>
  <c r="K146" i="18"/>
  <c r="O146" i="18" s="1"/>
  <c r="K792" i="18"/>
  <c r="O792" i="18" s="1"/>
  <c r="K152" i="18"/>
  <c r="O152" i="18" s="1"/>
  <c r="K6" i="18"/>
  <c r="O6" i="18" s="1"/>
  <c r="K8" i="18"/>
  <c r="O8" i="18" s="1"/>
  <c r="K5" i="18"/>
  <c r="O5" i="18" s="1"/>
  <c r="K205" i="18"/>
  <c r="O205" i="18" s="1"/>
  <c r="K31" i="18"/>
  <c r="O31" i="18" s="1"/>
  <c r="K197" i="18"/>
  <c r="O197" i="18" s="1"/>
  <c r="K297" i="18"/>
  <c r="O297" i="18" s="1"/>
  <c r="K599" i="18"/>
  <c r="O599" i="18" s="1"/>
  <c r="K609" i="18"/>
  <c r="O609" i="18" s="1"/>
  <c r="K426" i="18"/>
  <c r="O426" i="18" s="1"/>
  <c r="K476" i="18"/>
  <c r="O476" i="18" s="1"/>
  <c r="K494" i="18"/>
  <c r="O494" i="18" s="1"/>
  <c r="K150" i="18"/>
  <c r="O150" i="18" s="1"/>
  <c r="K360" i="18"/>
  <c r="O360" i="18" s="1"/>
  <c r="K410" i="18"/>
  <c r="O410" i="18" s="1"/>
  <c r="K10" i="18"/>
  <c r="O10" i="18" s="1"/>
  <c r="K78" i="18"/>
  <c r="O78" i="18" s="1"/>
  <c r="K286" i="18"/>
  <c r="O286" i="18" s="1"/>
  <c r="K319" i="18"/>
  <c r="O319" i="18" s="1"/>
  <c r="K344" i="18"/>
  <c r="O344" i="18" s="1"/>
  <c r="K455" i="18"/>
  <c r="O455" i="18" s="1"/>
  <c r="K498" i="18"/>
  <c r="O498" i="18" s="1"/>
  <c r="K563" i="18"/>
  <c r="O563" i="18" s="1"/>
  <c r="K682" i="18"/>
  <c r="O682" i="18" s="1"/>
  <c r="K702" i="18"/>
  <c r="O702" i="18" s="1"/>
  <c r="K178" i="18"/>
  <c r="O178" i="18" s="1"/>
  <c r="K803" i="18"/>
  <c r="O803" i="18" s="1"/>
  <c r="K718" i="18"/>
  <c r="O718" i="18" s="1"/>
  <c r="K253" i="18"/>
  <c r="O253" i="18" s="1"/>
  <c r="K389" i="18"/>
  <c r="O389" i="18" s="1"/>
  <c r="K524" i="18"/>
  <c r="O524" i="18" s="1"/>
  <c r="K637" i="18"/>
  <c r="O637" i="18" s="1"/>
  <c r="K747" i="18"/>
  <c r="O747" i="18" s="1"/>
  <c r="K789" i="18"/>
  <c r="O789" i="18" s="1"/>
  <c r="K364" i="18"/>
  <c r="O364" i="18" s="1"/>
  <c r="K431" i="18"/>
  <c r="O431" i="18" s="1"/>
  <c r="K768" i="18"/>
  <c r="O768" i="18" s="1"/>
  <c r="K269" i="18"/>
  <c r="O269" i="18" s="1"/>
  <c r="K123" i="18"/>
  <c r="O123" i="18" s="1"/>
  <c r="K131" i="18"/>
  <c r="O131" i="18" s="1"/>
  <c r="K237" i="18"/>
  <c r="O237" i="18" s="1"/>
  <c r="K245" i="18"/>
  <c r="O245" i="18" s="1"/>
  <c r="K312" i="18"/>
  <c r="O312" i="18" s="1"/>
  <c r="K381" i="18"/>
  <c r="O381" i="18" s="1"/>
  <c r="K440" i="18"/>
  <c r="O440" i="18" s="1"/>
  <c r="K448" i="18"/>
  <c r="O448" i="18" s="1"/>
  <c r="K516" i="18"/>
  <c r="O516" i="18" s="1"/>
  <c r="K624" i="18"/>
  <c r="O624" i="18" s="1"/>
  <c r="K124" i="18"/>
  <c r="O124" i="18" s="1"/>
  <c r="K132" i="18"/>
  <c r="O132" i="18" s="1"/>
  <c r="K230" i="18"/>
  <c r="O230" i="18" s="1"/>
  <c r="K238" i="18"/>
  <c r="O238" i="18" s="1"/>
  <c r="K246" i="18"/>
  <c r="O246" i="18" s="1"/>
  <c r="K305" i="18"/>
  <c r="O305" i="18" s="1"/>
  <c r="K313" i="18"/>
  <c r="O313" i="18" s="1"/>
  <c r="K374" i="18"/>
  <c r="O374" i="18" s="1"/>
  <c r="K382" i="18"/>
  <c r="O382" i="18" s="1"/>
  <c r="K441" i="18"/>
  <c r="O441" i="18" s="1"/>
  <c r="K449" i="18"/>
  <c r="O449" i="18" s="1"/>
  <c r="K509" i="18"/>
  <c r="O509" i="18" s="1"/>
  <c r="K517" i="18"/>
  <c r="O517" i="18" s="1"/>
  <c r="K625" i="18"/>
  <c r="O625" i="18" s="1"/>
  <c r="K125" i="18"/>
  <c r="O125" i="18" s="1"/>
  <c r="K133" i="18"/>
  <c r="O133" i="18" s="1"/>
  <c r="K231" i="18"/>
  <c r="O231" i="18" s="1"/>
  <c r="K239" i="18"/>
  <c r="O239" i="18" s="1"/>
  <c r="K306" i="18"/>
  <c r="O306" i="18" s="1"/>
  <c r="K314" i="18"/>
  <c r="O314" i="18" s="1"/>
  <c r="K375" i="18"/>
  <c r="O375" i="18" s="1"/>
  <c r="K383" i="18"/>
  <c r="O383" i="18" s="1"/>
  <c r="K442" i="18"/>
  <c r="O442" i="18" s="1"/>
  <c r="K510" i="18"/>
  <c r="O510" i="18" s="1"/>
  <c r="K518" i="18"/>
  <c r="O518" i="18" s="1"/>
  <c r="K126" i="18"/>
  <c r="O126" i="18" s="1"/>
  <c r="K134" i="18"/>
  <c r="O134" i="18" s="1"/>
  <c r="K232" i="18"/>
  <c r="O232" i="18" s="1"/>
  <c r="K240" i="18"/>
  <c r="O240" i="18" s="1"/>
  <c r="K307" i="18"/>
  <c r="O307" i="18" s="1"/>
  <c r="K315" i="18"/>
  <c r="O315" i="18" s="1"/>
  <c r="K376" i="18"/>
  <c r="O376" i="18" s="1"/>
  <c r="K443" i="18"/>
  <c r="O443" i="18" s="1"/>
  <c r="K511" i="18"/>
  <c r="O511" i="18" s="1"/>
  <c r="K627" i="18"/>
  <c r="O627" i="18" s="1"/>
  <c r="K119" i="18"/>
  <c r="O119" i="18" s="1"/>
  <c r="K127" i="18"/>
  <c r="O127" i="18" s="1"/>
  <c r="K135" i="18"/>
  <c r="O135" i="18" s="1"/>
  <c r="K233" i="18"/>
  <c r="O233" i="18" s="1"/>
  <c r="K241" i="18"/>
  <c r="O241" i="18" s="1"/>
  <c r="K308" i="18"/>
  <c r="O308" i="18" s="1"/>
  <c r="K377" i="18"/>
  <c r="O377" i="18" s="1"/>
  <c r="K444" i="18"/>
  <c r="O444" i="18" s="1"/>
  <c r="K512" i="18"/>
  <c r="O512" i="18" s="1"/>
  <c r="K620" i="18"/>
  <c r="O620" i="18" s="1"/>
  <c r="K628" i="18"/>
  <c r="O628" i="18" s="1"/>
  <c r="K121" i="18"/>
  <c r="O121" i="18" s="1"/>
  <c r="K129" i="18"/>
  <c r="O129" i="18" s="1"/>
  <c r="K137" i="18"/>
  <c r="O137" i="18" s="1"/>
  <c r="K235" i="18"/>
  <c r="O235" i="18" s="1"/>
  <c r="K243" i="18"/>
  <c r="O243" i="18" s="1"/>
  <c r="K310" i="18"/>
  <c r="O310" i="18" s="1"/>
  <c r="K379" i="18"/>
  <c r="O379" i="18" s="1"/>
  <c r="K446" i="18"/>
  <c r="O446" i="18" s="1"/>
  <c r="K514" i="18"/>
  <c r="O514" i="18" s="1"/>
  <c r="K622" i="18"/>
  <c r="O622" i="18" s="1"/>
  <c r="K630" i="18"/>
  <c r="O630" i="18" s="1"/>
  <c r="K242" i="18"/>
  <c r="O242" i="18" s="1"/>
  <c r="K309" i="18"/>
  <c r="O309" i="18" s="1"/>
  <c r="K378" i="18"/>
  <c r="O378" i="18" s="1"/>
  <c r="K445" i="18"/>
  <c r="O445" i="18" s="1"/>
  <c r="K513" i="18"/>
  <c r="O513" i="18" s="1"/>
  <c r="K629" i="18"/>
  <c r="O629" i="18" s="1"/>
  <c r="K735" i="18"/>
  <c r="O735" i="18" s="1"/>
  <c r="K832" i="18"/>
  <c r="O832" i="18" s="1"/>
  <c r="K840" i="18"/>
  <c r="O840" i="18" s="1"/>
  <c r="K734" i="18"/>
  <c r="O734" i="18" s="1"/>
  <c r="K831" i="18"/>
  <c r="O831" i="18" s="1"/>
  <c r="K244" i="18"/>
  <c r="O244" i="18" s="1"/>
  <c r="K311" i="18"/>
  <c r="O311" i="18" s="1"/>
  <c r="K380" i="18"/>
  <c r="O380" i="18" s="1"/>
  <c r="K447" i="18"/>
  <c r="O447" i="18" s="1"/>
  <c r="K515" i="18"/>
  <c r="O515" i="18" s="1"/>
  <c r="K728" i="18"/>
  <c r="O728" i="18" s="1"/>
  <c r="K736" i="18"/>
  <c r="O736" i="18" s="1"/>
  <c r="K833" i="18"/>
  <c r="O833" i="18" s="1"/>
  <c r="K841" i="18"/>
  <c r="O841" i="18" s="1"/>
  <c r="K839" i="18"/>
  <c r="O839" i="18" s="1"/>
  <c r="K120" i="18"/>
  <c r="O120" i="18" s="1"/>
  <c r="K729" i="18"/>
  <c r="O729" i="18" s="1"/>
  <c r="K737" i="18"/>
  <c r="O737" i="18" s="1"/>
  <c r="K834" i="18"/>
  <c r="O834" i="18" s="1"/>
  <c r="K842" i="18"/>
  <c r="O842" i="18" s="1"/>
  <c r="K439" i="18"/>
  <c r="O439" i="18" s="1"/>
  <c r="K122" i="18"/>
  <c r="O122" i="18" s="1"/>
  <c r="K730" i="18"/>
  <c r="O730" i="18" s="1"/>
  <c r="K738" i="18"/>
  <c r="O738" i="18" s="1"/>
  <c r="K835" i="18"/>
  <c r="O835" i="18" s="1"/>
  <c r="K843" i="18"/>
  <c r="O843" i="18" s="1"/>
  <c r="K236" i="18"/>
  <c r="O236" i="18" s="1"/>
  <c r="K128" i="18"/>
  <c r="O128" i="18" s="1"/>
  <c r="K731" i="18"/>
  <c r="O731" i="18" s="1"/>
  <c r="K739" i="18"/>
  <c r="O739" i="18" s="1"/>
  <c r="K828" i="18"/>
  <c r="O828" i="18" s="1"/>
  <c r="K836" i="18"/>
  <c r="O836" i="18" s="1"/>
  <c r="K844" i="18"/>
  <c r="O844" i="18" s="1"/>
  <c r="K845" i="18"/>
  <c r="O845" i="18" s="1"/>
  <c r="K626" i="18"/>
  <c r="O626" i="18" s="1"/>
  <c r="K742" i="18"/>
  <c r="O742" i="18" s="1"/>
  <c r="K130" i="18"/>
  <c r="O130" i="18" s="1"/>
  <c r="K621" i="18"/>
  <c r="O621" i="18" s="1"/>
  <c r="K732" i="18"/>
  <c r="O732" i="18" s="1"/>
  <c r="K740" i="18"/>
  <c r="O740" i="18" s="1"/>
  <c r="K829" i="18"/>
  <c r="O829" i="18" s="1"/>
  <c r="K837" i="18"/>
  <c r="O837" i="18" s="1"/>
  <c r="K136" i="18"/>
  <c r="O136" i="18" s="1"/>
  <c r="K234" i="18"/>
  <c r="O234" i="18" s="1"/>
  <c r="K623" i="18"/>
  <c r="O623" i="18" s="1"/>
  <c r="K733" i="18"/>
  <c r="O733" i="18" s="1"/>
  <c r="K741" i="18"/>
  <c r="O741" i="18" s="1"/>
  <c r="K830" i="18"/>
  <c r="O830" i="18" s="1"/>
  <c r="K838" i="18"/>
  <c r="O838" i="18" s="1"/>
  <c r="K73" i="18"/>
  <c r="O73" i="18" s="1"/>
  <c r="K66" i="18"/>
  <c r="O66" i="18" s="1"/>
  <c r="K67" i="18"/>
  <c r="O67" i="18" s="1"/>
  <c r="K68" i="18"/>
  <c r="O68" i="18" s="1"/>
  <c r="K69" i="18"/>
  <c r="O69" i="18" s="1"/>
  <c r="K71" i="18"/>
  <c r="O71" i="18" s="1"/>
  <c r="K72" i="18"/>
  <c r="O72" i="18" s="1"/>
  <c r="K70" i="18"/>
  <c r="O70" i="18" s="1"/>
  <c r="K47" i="18"/>
  <c r="O47" i="18" s="1"/>
  <c r="K155" i="18"/>
  <c r="O155" i="18" s="1"/>
  <c r="K279" i="18"/>
  <c r="O279" i="18" s="1"/>
  <c r="K640" i="18"/>
  <c r="O640" i="18" s="1"/>
  <c r="K697" i="18"/>
  <c r="O697" i="18" s="1"/>
  <c r="K48" i="18"/>
  <c r="O48" i="18" s="1"/>
  <c r="K75" i="18"/>
  <c r="O75" i="18" s="1"/>
  <c r="K188" i="18"/>
  <c r="O188" i="18" s="1"/>
  <c r="K255" i="18"/>
  <c r="O255" i="18" s="1"/>
  <c r="K280" i="18"/>
  <c r="O280" i="18" s="1"/>
  <c r="K458" i="18"/>
  <c r="O458" i="18" s="1"/>
  <c r="K590" i="18"/>
  <c r="O590" i="18" s="1"/>
  <c r="K641" i="18"/>
  <c r="O641" i="18" s="1"/>
  <c r="K49" i="18"/>
  <c r="O49" i="18" s="1"/>
  <c r="K76" i="18"/>
  <c r="O76" i="18" s="1"/>
  <c r="K189" i="18"/>
  <c r="O189" i="18" s="1"/>
  <c r="K256" i="18"/>
  <c r="O256" i="18" s="1"/>
  <c r="K323" i="18"/>
  <c r="O323" i="18" s="1"/>
  <c r="K392" i="18"/>
  <c r="O392" i="18" s="1"/>
  <c r="K417" i="18"/>
  <c r="O417" i="18" s="1"/>
  <c r="K459" i="18"/>
  <c r="O459" i="18" s="1"/>
  <c r="K485" i="18"/>
  <c r="O485" i="18" s="1"/>
  <c r="K527" i="18"/>
  <c r="O527" i="18" s="1"/>
  <c r="K50" i="18"/>
  <c r="O50" i="18" s="1"/>
  <c r="K77" i="18"/>
  <c r="O77" i="18" s="1"/>
  <c r="K142" i="18"/>
  <c r="O142" i="18" s="1"/>
  <c r="K190" i="18"/>
  <c r="O190" i="18" s="1"/>
  <c r="K324" i="18"/>
  <c r="O324" i="18" s="1"/>
  <c r="K351" i="18"/>
  <c r="O351" i="18" s="1"/>
  <c r="K393" i="18"/>
  <c r="O393" i="18" s="1"/>
  <c r="K418" i="18"/>
  <c r="O418" i="18" s="1"/>
  <c r="K460" i="18"/>
  <c r="O460" i="18" s="1"/>
  <c r="K486" i="18"/>
  <c r="O486" i="18" s="1"/>
  <c r="K528" i="18"/>
  <c r="O528" i="18" s="1"/>
  <c r="K592" i="18"/>
  <c r="O592" i="18" s="1"/>
  <c r="K643" i="18"/>
  <c r="O643" i="18" s="1"/>
  <c r="K143" i="18"/>
  <c r="O143" i="18" s="1"/>
  <c r="K191" i="18"/>
  <c r="O191" i="18" s="1"/>
  <c r="K325" i="18"/>
  <c r="O325" i="18" s="1"/>
  <c r="K352" i="18"/>
  <c r="O352" i="18" s="1"/>
  <c r="K394" i="18"/>
  <c r="O394" i="18" s="1"/>
  <c r="K419" i="18"/>
  <c r="O419" i="18" s="1"/>
  <c r="K461" i="18"/>
  <c r="O461" i="18" s="1"/>
  <c r="K487" i="18"/>
  <c r="O487" i="18" s="1"/>
  <c r="K529" i="18"/>
  <c r="O529" i="18" s="1"/>
  <c r="K593" i="18"/>
  <c r="O593" i="18" s="1"/>
  <c r="K12" i="18"/>
  <c r="O12" i="18" s="1"/>
  <c r="K252" i="18"/>
  <c r="O252" i="18" s="1"/>
  <c r="K277" i="18"/>
  <c r="O277" i="18" s="1"/>
  <c r="K354" i="18"/>
  <c r="O354" i="18" s="1"/>
  <c r="K144" i="18"/>
  <c r="O144" i="18" s="1"/>
  <c r="K752" i="18"/>
  <c r="O752" i="18" s="1"/>
  <c r="K785" i="18"/>
  <c r="O785" i="18" s="1"/>
  <c r="K13" i="18"/>
  <c r="O13" i="18" s="1"/>
  <c r="K278" i="18"/>
  <c r="O278" i="18" s="1"/>
  <c r="K694" i="18"/>
  <c r="O694" i="18" s="1"/>
  <c r="K786" i="18"/>
  <c r="O786" i="18" s="1"/>
  <c r="K251" i="18"/>
  <c r="O251" i="18" s="1"/>
  <c r="K353" i="18"/>
  <c r="O353" i="18" s="1"/>
  <c r="K420" i="18"/>
  <c r="O420" i="18" s="1"/>
  <c r="K488" i="18"/>
  <c r="O488" i="18" s="1"/>
  <c r="K695" i="18"/>
  <c r="O695" i="18" s="1"/>
  <c r="K787" i="18"/>
  <c r="O787" i="18" s="1"/>
  <c r="K154" i="18"/>
  <c r="O154" i="18" s="1"/>
  <c r="K591" i="18"/>
  <c r="O591" i="18" s="1"/>
  <c r="K696" i="18"/>
  <c r="O696" i="18" s="1"/>
  <c r="K788" i="18"/>
  <c r="O788" i="18" s="1"/>
  <c r="K326" i="18"/>
  <c r="O326" i="18" s="1"/>
  <c r="K395" i="18"/>
  <c r="O395" i="18" s="1"/>
  <c r="K530" i="18"/>
  <c r="O530" i="18" s="1"/>
  <c r="K642" i="18"/>
  <c r="O642" i="18" s="1"/>
  <c r="K749" i="18"/>
  <c r="O749" i="18" s="1"/>
  <c r="K750" i="18"/>
  <c r="O750" i="18" s="1"/>
  <c r="K751" i="18"/>
  <c r="O751" i="18" s="1"/>
  <c r="K62" i="18"/>
  <c r="O62" i="18" s="1"/>
  <c r="K94" i="18"/>
  <c r="O94" i="18" s="1"/>
  <c r="K270" i="18"/>
  <c r="O270" i="18" s="1"/>
  <c r="K598" i="18"/>
  <c r="O598" i="18" s="1"/>
  <c r="K816" i="18"/>
  <c r="O816" i="18" s="1"/>
  <c r="K343" i="18"/>
  <c r="O343" i="18" s="1"/>
  <c r="K359" i="18"/>
  <c r="O359" i="18" s="1"/>
  <c r="K767" i="18"/>
  <c r="O767" i="18" s="1"/>
  <c r="K815" i="18"/>
  <c r="O815" i="18" s="1"/>
  <c r="K744" i="18"/>
  <c r="O744" i="18" s="1"/>
  <c r="K56" i="18"/>
  <c r="O56" i="18" s="1"/>
  <c r="K608" i="18"/>
  <c r="O608" i="18" s="1"/>
  <c r="K808" i="18"/>
  <c r="O808" i="18" s="1"/>
  <c r="K249" i="18"/>
  <c r="O249" i="18" s="1"/>
  <c r="K409" i="18"/>
  <c r="O409" i="18" s="1"/>
  <c r="K425" i="18"/>
  <c r="O425" i="18" s="1"/>
  <c r="K521" i="18"/>
  <c r="O521" i="18" s="1"/>
  <c r="K681" i="18"/>
  <c r="O681" i="18" s="1"/>
  <c r="K809" i="18"/>
  <c r="O809" i="18" s="1"/>
  <c r="K817" i="18"/>
  <c r="O817" i="18" s="1"/>
  <c r="K818" i="18"/>
  <c r="O818" i="18" s="1"/>
  <c r="K484" i="18"/>
  <c r="O484" i="18" s="1"/>
  <c r="K42" i="18"/>
  <c r="O42" i="18" s="1"/>
  <c r="K74" i="18"/>
  <c r="O74" i="18" s="1"/>
  <c r="K386" i="18"/>
  <c r="O386" i="18" s="1"/>
  <c r="K347" i="18"/>
  <c r="O347" i="18" s="1"/>
  <c r="K475" i="18"/>
  <c r="O475" i="18" s="1"/>
  <c r="K819" i="18"/>
  <c r="O819" i="18" s="1"/>
  <c r="K196" i="18"/>
  <c r="O196" i="18" s="1"/>
  <c r="K204" i="18"/>
  <c r="O204" i="18" s="1"/>
  <c r="K348" i="18"/>
  <c r="O348" i="18" s="1"/>
  <c r="K452" i="18"/>
  <c r="O452" i="18" s="1"/>
  <c r="K285" i="18"/>
  <c r="O285" i="18" s="1"/>
  <c r="K317" i="18"/>
  <c r="O317" i="18" s="1"/>
  <c r="K493" i="18"/>
  <c r="O493" i="18" s="1"/>
  <c r="K605" i="18"/>
  <c r="O605" i="18" s="1"/>
  <c r="H113" i="6"/>
  <c r="H119" i="4"/>
  <c r="H122" i="2"/>
  <c r="H75" i="9"/>
  <c r="H78" i="10"/>
  <c r="H77" i="11"/>
  <c r="H116" i="13"/>
  <c r="H143" i="14"/>
  <c r="B7" i="12"/>
  <c r="H113" i="14"/>
  <c r="H136" i="14"/>
  <c r="O877" i="18" l="1"/>
  <c r="M6" i="12"/>
  <c r="M5" i="12"/>
  <c r="M4" i="12"/>
  <c r="H8" i="15" l="1"/>
  <c r="H111" i="13" l="1"/>
  <c r="H91" i="13"/>
  <c r="D7" i="12"/>
  <c r="E7" i="12"/>
  <c r="F7" i="12"/>
  <c r="G7" i="12"/>
  <c r="H7" i="12"/>
  <c r="I7" i="12"/>
  <c r="J7" i="12"/>
  <c r="K7" i="12"/>
  <c r="L7" i="12"/>
  <c r="C7" i="12"/>
  <c r="H59" i="11"/>
  <c r="M7" i="12" l="1"/>
  <c r="H73" i="11"/>
  <c r="H73" i="10" l="1"/>
  <c r="H60" i="10"/>
  <c r="H70" i="9"/>
  <c r="H56" i="9"/>
  <c r="H32" i="8" l="1"/>
  <c r="H114" i="7" l="1"/>
  <c r="H96" i="7"/>
  <c r="H108" i="6"/>
  <c r="H87" i="6"/>
  <c r="H115" i="4"/>
  <c r="H97" i="4"/>
  <c r="H72" i="1"/>
  <c r="H60" i="1"/>
  <c r="H116" i="2"/>
  <c r="H102" i="2"/>
</calcChain>
</file>

<file path=xl/sharedStrings.xml><?xml version="1.0" encoding="utf-8"?>
<sst xmlns="http://schemas.openxmlformats.org/spreadsheetml/2006/main" count="12863" uniqueCount="1617">
  <si>
    <t>No.</t>
    <phoneticPr fontId="2"/>
  </si>
  <si>
    <t>階</t>
    <rPh sb="0" eb="1">
      <t>カイ</t>
    </rPh>
    <phoneticPr fontId="2"/>
  </si>
  <si>
    <t>照明種類</t>
    <rPh sb="0" eb="4">
      <t>ショウメイシュルイ</t>
    </rPh>
    <phoneticPr fontId="2"/>
  </si>
  <si>
    <t>灯数</t>
    <rPh sb="0" eb="2">
      <t>トウスウ</t>
    </rPh>
    <phoneticPr fontId="2"/>
  </si>
  <si>
    <t>台数</t>
    <rPh sb="0" eb="2">
      <t>ダイスウ</t>
    </rPh>
    <phoneticPr fontId="2"/>
  </si>
  <si>
    <t>消費電力(W/台)</t>
    <rPh sb="0" eb="4">
      <t>ショウヒデンリョク</t>
    </rPh>
    <rPh sb="7" eb="8">
      <t>ダイ</t>
    </rPh>
    <phoneticPr fontId="2"/>
  </si>
  <si>
    <t>仕様</t>
    <rPh sb="0" eb="2">
      <t>シヨウ</t>
    </rPh>
    <phoneticPr fontId="2"/>
  </si>
  <si>
    <t>更新/非更新</t>
    <rPh sb="0" eb="2">
      <t>コウシン</t>
    </rPh>
    <rPh sb="3" eb="6">
      <t>ヒコウシン</t>
    </rPh>
    <phoneticPr fontId="2"/>
  </si>
  <si>
    <t>年間点灯時間</t>
    <rPh sb="0" eb="6">
      <t>ネンカンテントウジカン</t>
    </rPh>
    <phoneticPr fontId="2"/>
  </si>
  <si>
    <t>更新</t>
    <rPh sb="0" eb="2">
      <t>コウシン</t>
    </rPh>
    <phoneticPr fontId="2"/>
  </si>
  <si>
    <t>備考</t>
    <rPh sb="0" eb="2">
      <t>ビコウ</t>
    </rPh>
    <phoneticPr fontId="2"/>
  </si>
  <si>
    <t>廊下</t>
    <rPh sb="0" eb="2">
      <t>ロウカ</t>
    </rPh>
    <phoneticPr fontId="2"/>
  </si>
  <si>
    <t>ブラケット</t>
    <phoneticPr fontId="2"/>
  </si>
  <si>
    <t>部屋名</t>
    <rPh sb="0" eb="3">
      <t>ヘヤメイ</t>
    </rPh>
    <phoneticPr fontId="2"/>
  </si>
  <si>
    <t>図面記号</t>
    <rPh sb="0" eb="2">
      <t>ズメン</t>
    </rPh>
    <rPh sb="2" eb="4">
      <t>キゴウ</t>
    </rPh>
    <phoneticPr fontId="2"/>
  </si>
  <si>
    <t>本庁舎</t>
    <rPh sb="0" eb="3">
      <t>ホンチョウシャ</t>
    </rPh>
    <phoneticPr fontId="2"/>
  </si>
  <si>
    <t>5F</t>
  </si>
  <si>
    <t>5F</t>
    <phoneticPr fontId="2"/>
  </si>
  <si>
    <t>Ｄコア更衣室</t>
    <rPh sb="3" eb="6">
      <t>コウイシツ</t>
    </rPh>
    <phoneticPr fontId="2"/>
  </si>
  <si>
    <t>FHF16W</t>
    <phoneticPr fontId="2"/>
  </si>
  <si>
    <t>V321</t>
    <phoneticPr fontId="2"/>
  </si>
  <si>
    <t>FHF32W</t>
    <phoneticPr fontId="2"/>
  </si>
  <si>
    <t>Ｄコア湯沸室</t>
    <rPh sb="3" eb="5">
      <t>ユワ</t>
    </rPh>
    <rPh sb="5" eb="6">
      <t>シツ</t>
    </rPh>
    <phoneticPr fontId="2"/>
  </si>
  <si>
    <t>Dコア廊下</t>
    <rPh sb="3" eb="5">
      <t>ロウカ</t>
    </rPh>
    <phoneticPr fontId="2"/>
  </si>
  <si>
    <t>ＤコアＥＰＳ</t>
    <phoneticPr fontId="2"/>
  </si>
  <si>
    <t>Ｄコア階段</t>
    <rPh sb="3" eb="5">
      <t>カイダン</t>
    </rPh>
    <phoneticPr fontId="2"/>
  </si>
  <si>
    <t>Ｄコア女子便所</t>
    <rPh sb="3" eb="7">
      <t>ジョシベンジョ</t>
    </rPh>
    <phoneticPr fontId="2"/>
  </si>
  <si>
    <t>Ｄコア男子便所</t>
    <rPh sb="3" eb="5">
      <t>ダンシ</t>
    </rPh>
    <rPh sb="5" eb="7">
      <t>ベンジョ</t>
    </rPh>
    <phoneticPr fontId="2"/>
  </si>
  <si>
    <t>A321PJ</t>
    <phoneticPr fontId="2"/>
  </si>
  <si>
    <t>埋込W190</t>
    <rPh sb="0" eb="1">
      <t>ウ</t>
    </rPh>
    <rPh sb="1" eb="2">
      <t>コ</t>
    </rPh>
    <phoneticPr fontId="2"/>
  </si>
  <si>
    <t>片反射笠付(高出力)</t>
    <rPh sb="0" eb="1">
      <t>カタ</t>
    </rPh>
    <rPh sb="1" eb="3">
      <t>ハンシャ</t>
    </rPh>
    <rPh sb="3" eb="4">
      <t>カサ</t>
    </rPh>
    <rPh sb="4" eb="5">
      <t>フ</t>
    </rPh>
    <rPh sb="6" eb="9">
      <t>コウシュツリョク</t>
    </rPh>
    <phoneticPr fontId="2"/>
  </si>
  <si>
    <t>LED電球</t>
    <rPh sb="3" eb="5">
      <t>デンキュウ</t>
    </rPh>
    <phoneticPr fontId="2"/>
  </si>
  <si>
    <t>うち1台間引き済み</t>
    <rPh sb="3" eb="4">
      <t>ダイ</t>
    </rPh>
    <rPh sb="4" eb="6">
      <t>マビ</t>
    </rPh>
    <rPh sb="7" eb="8">
      <t>ズ</t>
    </rPh>
    <phoneticPr fontId="2"/>
  </si>
  <si>
    <t>生涯学習部</t>
    <rPh sb="0" eb="5">
      <t>ショウガイガクシュウブ</t>
    </rPh>
    <phoneticPr fontId="2"/>
  </si>
  <si>
    <t>書庫</t>
    <rPh sb="0" eb="2">
      <t>ショコ</t>
    </rPh>
    <phoneticPr fontId="2"/>
  </si>
  <si>
    <t>エレベーターホール</t>
    <phoneticPr fontId="2"/>
  </si>
  <si>
    <t>Aコア階段</t>
    <rPh sb="3" eb="5">
      <t>カイダン</t>
    </rPh>
    <phoneticPr fontId="2"/>
  </si>
  <si>
    <t>Aコア更衣室</t>
    <rPh sb="3" eb="6">
      <t>コウイシツ</t>
    </rPh>
    <phoneticPr fontId="2"/>
  </si>
  <si>
    <t>AコアEPS</t>
    <phoneticPr fontId="2"/>
  </si>
  <si>
    <t>Aコア廊下</t>
    <rPh sb="3" eb="5">
      <t>ロウカ</t>
    </rPh>
    <phoneticPr fontId="2"/>
  </si>
  <si>
    <t>財務部入札控室</t>
    <rPh sb="0" eb="3">
      <t>ザイムブ</t>
    </rPh>
    <rPh sb="3" eb="7">
      <t>ニュウサツヒカエシツ</t>
    </rPh>
    <phoneticPr fontId="2"/>
  </si>
  <si>
    <t>財務部入札控室</t>
    <rPh sb="0" eb="7">
      <t>ザイムブニュウサツヒカエシツ</t>
    </rPh>
    <phoneticPr fontId="2"/>
  </si>
  <si>
    <t>財務部調度課</t>
    <rPh sb="0" eb="6">
      <t>ザイムブチョウドカ</t>
    </rPh>
    <phoneticPr fontId="2"/>
  </si>
  <si>
    <t>財務部財政課</t>
    <rPh sb="0" eb="2">
      <t>ザイム</t>
    </rPh>
    <rPh sb="2" eb="3">
      <t>ブ</t>
    </rPh>
    <rPh sb="3" eb="5">
      <t>ザイセイ</t>
    </rPh>
    <rPh sb="5" eb="6">
      <t>カ</t>
    </rPh>
    <phoneticPr fontId="2"/>
  </si>
  <si>
    <t>更衣室</t>
    <rPh sb="0" eb="3">
      <t>コウイシツ</t>
    </rPh>
    <phoneticPr fontId="2"/>
  </si>
  <si>
    <t>Bコア廊下</t>
    <rPh sb="3" eb="5">
      <t>ロウカ</t>
    </rPh>
    <phoneticPr fontId="2"/>
  </si>
  <si>
    <t>Bコア階段</t>
    <rPh sb="3" eb="5">
      <t>カイダン</t>
    </rPh>
    <phoneticPr fontId="2"/>
  </si>
  <si>
    <t>Bコア更衣室</t>
    <rPh sb="3" eb="6">
      <t>コウイシツ</t>
    </rPh>
    <phoneticPr fontId="2"/>
  </si>
  <si>
    <t>教育委員室</t>
    <rPh sb="0" eb="5">
      <t>キョウイクイインシツ</t>
    </rPh>
    <phoneticPr fontId="2"/>
  </si>
  <si>
    <t>Cコア廊下</t>
    <rPh sb="3" eb="5">
      <t>ロウカ</t>
    </rPh>
    <phoneticPr fontId="2"/>
  </si>
  <si>
    <t>Cコア階段</t>
    <rPh sb="3" eb="5">
      <t>カイダン</t>
    </rPh>
    <phoneticPr fontId="2"/>
  </si>
  <si>
    <t>教育相談室</t>
    <rPh sb="0" eb="5">
      <t>キョウイクソウダンシツ</t>
    </rPh>
    <phoneticPr fontId="2"/>
  </si>
  <si>
    <t>部長室</t>
    <rPh sb="0" eb="3">
      <t>ブチョウシツ</t>
    </rPh>
    <phoneticPr fontId="2"/>
  </si>
  <si>
    <t>教育委員会学校教育部</t>
    <rPh sb="0" eb="5">
      <t>キョウイクイインカイ</t>
    </rPh>
    <rPh sb="5" eb="10">
      <t>ガッコウキョウイクブ</t>
    </rPh>
    <phoneticPr fontId="2"/>
  </si>
  <si>
    <t>相談室</t>
    <rPh sb="0" eb="3">
      <t>ソウダンシツ</t>
    </rPh>
    <phoneticPr fontId="2"/>
  </si>
  <si>
    <t>教育長室</t>
    <rPh sb="0" eb="3">
      <t>キョウイクチョウ</t>
    </rPh>
    <rPh sb="3" eb="4">
      <t>シツ</t>
    </rPh>
    <phoneticPr fontId="2"/>
  </si>
  <si>
    <t>システム天井</t>
    <rPh sb="4" eb="6">
      <t>テンジョウ</t>
    </rPh>
    <phoneticPr fontId="2"/>
  </si>
  <si>
    <t>Aコアエレベーターホール</t>
    <phoneticPr fontId="2"/>
  </si>
  <si>
    <t>Bコア女子便所</t>
    <rPh sb="3" eb="7">
      <t>ジョシベンジョ</t>
    </rPh>
    <phoneticPr fontId="2"/>
  </si>
  <si>
    <t>Bコア男子便所</t>
    <rPh sb="3" eb="7">
      <t>ダンシベンジョ</t>
    </rPh>
    <phoneticPr fontId="2"/>
  </si>
  <si>
    <t>Bコア湯沸室</t>
    <rPh sb="3" eb="5">
      <t>ユワ</t>
    </rPh>
    <rPh sb="5" eb="6">
      <t>シツ</t>
    </rPh>
    <phoneticPr fontId="2"/>
  </si>
  <si>
    <t>BコアEPS</t>
    <phoneticPr fontId="2"/>
  </si>
  <si>
    <t>監査事務局他</t>
    <rPh sb="0" eb="2">
      <t>カンサ</t>
    </rPh>
    <rPh sb="2" eb="5">
      <t>ジムキョク</t>
    </rPh>
    <rPh sb="5" eb="6">
      <t>ホカ</t>
    </rPh>
    <phoneticPr fontId="2"/>
  </si>
  <si>
    <t>Cコア物品庫</t>
    <rPh sb="3" eb="5">
      <t>ブッピン</t>
    </rPh>
    <rPh sb="5" eb="6">
      <t>コ</t>
    </rPh>
    <phoneticPr fontId="2"/>
  </si>
  <si>
    <t>CコアEPS</t>
    <phoneticPr fontId="2"/>
  </si>
  <si>
    <t>Cコアエレベーターホール</t>
    <phoneticPr fontId="2"/>
  </si>
  <si>
    <t>誘導灯C級</t>
    <rPh sb="0" eb="3">
      <t>ユウドウトウ</t>
    </rPh>
    <rPh sb="4" eb="5">
      <t>キュウ</t>
    </rPh>
    <phoneticPr fontId="2"/>
  </si>
  <si>
    <t>XC</t>
    <phoneticPr fontId="2"/>
  </si>
  <si>
    <t>YC</t>
    <phoneticPr fontId="2"/>
  </si>
  <si>
    <t>XrC</t>
    <phoneticPr fontId="2"/>
  </si>
  <si>
    <t>非常照明</t>
    <rPh sb="0" eb="4">
      <t>ヒジョウショウメイ</t>
    </rPh>
    <phoneticPr fontId="2"/>
  </si>
  <si>
    <t>フロア全体</t>
    <rPh sb="3" eb="5">
      <t>ゼンタイ</t>
    </rPh>
    <phoneticPr fontId="2"/>
  </si>
  <si>
    <t>IL60W</t>
    <phoneticPr fontId="2"/>
  </si>
  <si>
    <t>ダウンライト</t>
    <phoneticPr fontId="2"/>
  </si>
  <si>
    <t>黒板灯</t>
    <rPh sb="0" eb="3">
      <t>コクバントウ</t>
    </rPh>
    <phoneticPr fontId="2"/>
  </si>
  <si>
    <t>LED</t>
    <phoneticPr fontId="2"/>
  </si>
  <si>
    <t>ユニバーサルダウンライト</t>
    <phoneticPr fontId="2"/>
  </si>
  <si>
    <t>誘導灯</t>
    <rPh sb="0" eb="3">
      <t>ユウドウトウ</t>
    </rPh>
    <phoneticPr fontId="2"/>
  </si>
  <si>
    <t>L161</t>
    <phoneticPr fontId="2"/>
  </si>
  <si>
    <t>Ma321E</t>
    <phoneticPr fontId="2"/>
  </si>
  <si>
    <t>Mb321E</t>
    <phoneticPr fontId="2"/>
  </si>
  <si>
    <t>S322</t>
    <phoneticPr fontId="2"/>
  </si>
  <si>
    <t>K321</t>
    <phoneticPr fontId="2"/>
  </si>
  <si>
    <t>T321PX</t>
    <phoneticPr fontId="2"/>
  </si>
  <si>
    <t>T321PJ</t>
    <phoneticPr fontId="2"/>
  </si>
  <si>
    <t>L321</t>
    <phoneticPr fontId="2"/>
  </si>
  <si>
    <t>A161</t>
    <phoneticPr fontId="2"/>
  </si>
  <si>
    <t>A322PJ</t>
    <phoneticPr fontId="2"/>
  </si>
  <si>
    <t>笠付</t>
    <rPh sb="0" eb="2">
      <t>カサツキ</t>
    </rPh>
    <phoneticPr fontId="2"/>
  </si>
  <si>
    <t>トラフ</t>
    <phoneticPr fontId="2"/>
  </si>
  <si>
    <t>埋込　W190</t>
    <rPh sb="0" eb="1">
      <t>ウ</t>
    </rPh>
    <rPh sb="1" eb="2">
      <t>コ</t>
    </rPh>
    <phoneticPr fontId="2"/>
  </si>
  <si>
    <t>逆富士</t>
    <rPh sb="0" eb="3">
      <t>ギャクフジ</t>
    </rPh>
    <phoneticPr fontId="2"/>
  </si>
  <si>
    <t>片反射笠付</t>
    <rPh sb="0" eb="1">
      <t>カタ</t>
    </rPh>
    <rPh sb="1" eb="3">
      <t>ハンシャ</t>
    </rPh>
    <rPh sb="3" eb="4">
      <t>カサ</t>
    </rPh>
    <rPh sb="4" eb="5">
      <t>フ</t>
    </rPh>
    <phoneticPr fontId="2"/>
  </si>
  <si>
    <t>埋込　高出力</t>
    <rPh sb="0" eb="1">
      <t>ウ</t>
    </rPh>
    <rPh sb="1" eb="2">
      <t>コ</t>
    </rPh>
    <rPh sb="3" eb="6">
      <t>コウシュツリョク</t>
    </rPh>
    <phoneticPr fontId="2"/>
  </si>
  <si>
    <t>埋込　W300</t>
    <rPh sb="0" eb="1">
      <t>ウ</t>
    </rPh>
    <rPh sb="1" eb="2">
      <t>コ</t>
    </rPh>
    <phoneticPr fontId="2"/>
  </si>
  <si>
    <t>片反射笠付(高出力)</t>
    <rPh sb="0" eb="1">
      <t>カタ</t>
    </rPh>
    <rPh sb="1" eb="3">
      <t>ハンシャ</t>
    </rPh>
    <rPh sb="3" eb="5">
      <t>カサツキ</t>
    </rPh>
    <rPh sb="6" eb="7">
      <t>コウ</t>
    </rPh>
    <rPh sb="7" eb="9">
      <t>シュツリョク</t>
    </rPh>
    <phoneticPr fontId="2"/>
  </si>
  <si>
    <t>片反射笠付</t>
    <rPh sb="0" eb="1">
      <t>カタ</t>
    </rPh>
    <rPh sb="1" eb="3">
      <t>ハンシャ</t>
    </rPh>
    <rPh sb="3" eb="5">
      <t>カサツキ</t>
    </rPh>
    <phoneticPr fontId="2"/>
  </si>
  <si>
    <t>CF2.2W</t>
    <phoneticPr fontId="2"/>
  </si>
  <si>
    <t>CF2W</t>
    <phoneticPr fontId="2"/>
  </si>
  <si>
    <t>6F</t>
  </si>
  <si>
    <t>市長室</t>
    <rPh sb="0" eb="3">
      <t>シチョウシツ</t>
    </rPh>
    <phoneticPr fontId="2"/>
  </si>
  <si>
    <t>図書室</t>
    <rPh sb="0" eb="3">
      <t>トショシツ</t>
    </rPh>
    <phoneticPr fontId="2"/>
  </si>
  <si>
    <t>待合ロビー</t>
    <rPh sb="0" eb="2">
      <t>マチアイ</t>
    </rPh>
    <phoneticPr fontId="2"/>
  </si>
  <si>
    <t>応接室１</t>
    <rPh sb="0" eb="3">
      <t>オウセツシツ</t>
    </rPh>
    <phoneticPr fontId="2"/>
  </si>
  <si>
    <t>応接室２</t>
    <rPh sb="0" eb="3">
      <t>オウセツシツ</t>
    </rPh>
    <phoneticPr fontId="2"/>
  </si>
  <si>
    <t>特別職会議室</t>
    <rPh sb="0" eb="6">
      <t>トクベツショクカイギシツ</t>
    </rPh>
    <phoneticPr fontId="2"/>
  </si>
  <si>
    <t>秘書課湯沸室</t>
    <rPh sb="0" eb="3">
      <t>ヒショカ</t>
    </rPh>
    <rPh sb="3" eb="5">
      <t>ユワ</t>
    </rPh>
    <rPh sb="5" eb="6">
      <t>シツ</t>
    </rPh>
    <phoneticPr fontId="2"/>
  </si>
  <si>
    <t>秘書課</t>
    <rPh sb="0" eb="3">
      <t>ヒショカ</t>
    </rPh>
    <phoneticPr fontId="2"/>
  </si>
  <si>
    <t>助役室</t>
    <rPh sb="0" eb="3">
      <t>ジョヤクシツ</t>
    </rPh>
    <phoneticPr fontId="2"/>
  </si>
  <si>
    <t>電気室</t>
    <rPh sb="0" eb="3">
      <t>デンキシツ</t>
    </rPh>
    <phoneticPr fontId="2"/>
  </si>
  <si>
    <t>広報課</t>
    <rPh sb="0" eb="3">
      <t>コウホウカ</t>
    </rPh>
    <phoneticPr fontId="2"/>
  </si>
  <si>
    <t>暗室</t>
    <rPh sb="0" eb="2">
      <t>アンシツ</t>
    </rPh>
    <phoneticPr fontId="2"/>
  </si>
  <si>
    <t>市政記者室湯沸室</t>
    <rPh sb="0" eb="5">
      <t>シセイキシャシツ</t>
    </rPh>
    <rPh sb="5" eb="7">
      <t>ユワ</t>
    </rPh>
    <rPh sb="7" eb="8">
      <t>シツ</t>
    </rPh>
    <phoneticPr fontId="2"/>
  </si>
  <si>
    <t>市政記者室</t>
    <rPh sb="0" eb="5">
      <t>シセイキシャシツ</t>
    </rPh>
    <phoneticPr fontId="2"/>
  </si>
  <si>
    <t>湯沸室</t>
    <rPh sb="0" eb="2">
      <t>ユワ</t>
    </rPh>
    <rPh sb="2" eb="3">
      <t>シツ</t>
    </rPh>
    <phoneticPr fontId="2"/>
  </si>
  <si>
    <t>企画部</t>
    <rPh sb="0" eb="3">
      <t>キカクブ</t>
    </rPh>
    <phoneticPr fontId="2"/>
  </si>
  <si>
    <t>熱源室</t>
    <rPh sb="0" eb="3">
      <t>ネツゲンシツ</t>
    </rPh>
    <phoneticPr fontId="2"/>
  </si>
  <si>
    <t>ボンベ室</t>
    <rPh sb="3" eb="4">
      <t>シツ</t>
    </rPh>
    <phoneticPr fontId="2"/>
  </si>
  <si>
    <t>ロッカー室</t>
    <rPh sb="4" eb="5">
      <t>シツ</t>
    </rPh>
    <phoneticPr fontId="2"/>
  </si>
  <si>
    <t>バッテリー室</t>
    <rPh sb="5" eb="6">
      <t>シツ</t>
    </rPh>
    <phoneticPr fontId="2"/>
  </si>
  <si>
    <t>監視室</t>
    <rPh sb="0" eb="3">
      <t>カンシシツ</t>
    </rPh>
    <phoneticPr fontId="2"/>
  </si>
  <si>
    <t>印刷室</t>
    <rPh sb="0" eb="3">
      <t>インサツシツ</t>
    </rPh>
    <phoneticPr fontId="2"/>
  </si>
  <si>
    <t>防災無線統制台</t>
    <rPh sb="0" eb="4">
      <t>ボウサイムセン</t>
    </rPh>
    <rPh sb="4" eb="6">
      <t>トウセイ</t>
    </rPh>
    <rPh sb="6" eb="7">
      <t>ダイ</t>
    </rPh>
    <phoneticPr fontId="2"/>
  </si>
  <si>
    <t>FL15W</t>
    <phoneticPr fontId="2"/>
  </si>
  <si>
    <t>棚下灯</t>
    <rPh sb="0" eb="2">
      <t>タナシタ</t>
    </rPh>
    <rPh sb="2" eb="3">
      <t>トウ</t>
    </rPh>
    <phoneticPr fontId="2"/>
  </si>
  <si>
    <t>MF100W</t>
    <phoneticPr fontId="2"/>
  </si>
  <si>
    <t>150角</t>
    <rPh sb="3" eb="4">
      <t>カク</t>
    </rPh>
    <phoneticPr fontId="2"/>
  </si>
  <si>
    <t>Aコア物品庫</t>
    <rPh sb="3" eb="6">
      <t>ブッピンコ</t>
    </rPh>
    <phoneticPr fontId="2"/>
  </si>
  <si>
    <t>秘書課前廊下</t>
    <rPh sb="0" eb="3">
      <t>ヒショカ</t>
    </rPh>
    <rPh sb="3" eb="4">
      <t>マエ</t>
    </rPh>
    <rPh sb="4" eb="6">
      <t>ロウカ</t>
    </rPh>
    <phoneticPr fontId="2"/>
  </si>
  <si>
    <t>Cコア更衣室</t>
    <rPh sb="3" eb="6">
      <t>コウイシツ</t>
    </rPh>
    <phoneticPr fontId="2"/>
  </si>
  <si>
    <t>総務部</t>
    <rPh sb="0" eb="3">
      <t>ソウムブ</t>
    </rPh>
    <phoneticPr fontId="2"/>
  </si>
  <si>
    <t>総務部人事課</t>
    <rPh sb="0" eb="6">
      <t>ソウムブジンジカ</t>
    </rPh>
    <phoneticPr fontId="2"/>
  </si>
  <si>
    <t>コップ</t>
    <phoneticPr fontId="2"/>
  </si>
  <si>
    <t>7F</t>
  </si>
  <si>
    <t>ZC</t>
    <phoneticPr fontId="2"/>
  </si>
  <si>
    <t>Ｄコア倉庫</t>
    <rPh sb="3" eb="5">
      <t>ソウコ</t>
    </rPh>
    <phoneticPr fontId="2"/>
  </si>
  <si>
    <t>副議長室</t>
    <rPh sb="0" eb="4">
      <t>フクギチョウシツ</t>
    </rPh>
    <phoneticPr fontId="2"/>
  </si>
  <si>
    <t>第２応接室</t>
    <rPh sb="0" eb="1">
      <t>ダイ</t>
    </rPh>
    <rPh sb="2" eb="5">
      <t>オウセツシツ</t>
    </rPh>
    <phoneticPr fontId="2"/>
  </si>
  <si>
    <t>第１応接室</t>
    <rPh sb="0" eb="1">
      <t>ダイ</t>
    </rPh>
    <rPh sb="2" eb="5">
      <t>オウセツシツ</t>
    </rPh>
    <phoneticPr fontId="2"/>
  </si>
  <si>
    <t>第３応接室</t>
    <rPh sb="0" eb="1">
      <t>ダイ</t>
    </rPh>
    <rPh sb="2" eb="5">
      <t>オウセツシツ</t>
    </rPh>
    <phoneticPr fontId="2"/>
  </si>
  <si>
    <t>議長室</t>
    <rPh sb="0" eb="3">
      <t>ギチョウシツ</t>
    </rPh>
    <phoneticPr fontId="2"/>
  </si>
  <si>
    <t>第４応接室</t>
    <rPh sb="0" eb="1">
      <t>ダイ</t>
    </rPh>
    <rPh sb="2" eb="5">
      <t>オウセツシツ</t>
    </rPh>
    <phoneticPr fontId="2"/>
  </si>
  <si>
    <t>事務局長室</t>
    <rPh sb="0" eb="5">
      <t>ジムキョクチョウシツ</t>
    </rPh>
    <phoneticPr fontId="2"/>
  </si>
  <si>
    <t>談話室</t>
    <rPh sb="0" eb="3">
      <t>ダンワシツ</t>
    </rPh>
    <phoneticPr fontId="2"/>
  </si>
  <si>
    <t>議会事務局</t>
    <rPh sb="0" eb="4">
      <t>ギカイジム</t>
    </rPh>
    <rPh sb="4" eb="5">
      <t>キョク</t>
    </rPh>
    <phoneticPr fontId="2"/>
  </si>
  <si>
    <t>議会事務局資料室</t>
    <rPh sb="0" eb="5">
      <t>ギカイジムキョク</t>
    </rPh>
    <rPh sb="5" eb="8">
      <t>シリョウシツ</t>
    </rPh>
    <phoneticPr fontId="2"/>
  </si>
  <si>
    <t>議会図書室</t>
    <rPh sb="0" eb="2">
      <t>ギカイ</t>
    </rPh>
    <rPh sb="2" eb="5">
      <t>トショシツ</t>
    </rPh>
    <phoneticPr fontId="2"/>
  </si>
  <si>
    <t>第５応接室</t>
    <rPh sb="0" eb="1">
      <t>ダイ</t>
    </rPh>
    <rPh sb="2" eb="5">
      <t>オウセツシツ</t>
    </rPh>
    <phoneticPr fontId="2"/>
  </si>
  <si>
    <t>ロビー</t>
    <phoneticPr fontId="2"/>
  </si>
  <si>
    <t>倉庫</t>
    <rPh sb="0" eb="2">
      <t>ソウコ</t>
    </rPh>
    <phoneticPr fontId="2"/>
  </si>
  <si>
    <t>空調機室</t>
    <rPh sb="0" eb="2">
      <t>クウチョウ</t>
    </rPh>
    <rPh sb="2" eb="3">
      <t>キ</t>
    </rPh>
    <rPh sb="3" eb="4">
      <t>シツ</t>
    </rPh>
    <phoneticPr fontId="2"/>
  </si>
  <si>
    <t>議場通路</t>
    <rPh sb="0" eb="4">
      <t>ギジョウツウロ</t>
    </rPh>
    <phoneticPr fontId="2"/>
  </si>
  <si>
    <t>議場裏</t>
    <rPh sb="0" eb="3">
      <t>ギジョウウラ</t>
    </rPh>
    <phoneticPr fontId="2"/>
  </si>
  <si>
    <t>市政記者席後部通路</t>
    <rPh sb="0" eb="2">
      <t>シセイ</t>
    </rPh>
    <rPh sb="2" eb="5">
      <t>キシャセキ</t>
    </rPh>
    <rPh sb="5" eb="7">
      <t>コウブ</t>
    </rPh>
    <rPh sb="7" eb="9">
      <t>ツウロ</t>
    </rPh>
    <phoneticPr fontId="2"/>
  </si>
  <si>
    <t>説明員控室</t>
    <rPh sb="0" eb="3">
      <t>セツメイイン</t>
    </rPh>
    <rPh sb="3" eb="5">
      <t>ヒカエシツ</t>
    </rPh>
    <phoneticPr fontId="2"/>
  </si>
  <si>
    <t>議員控室８</t>
    <rPh sb="0" eb="4">
      <t>ギインヒカエシツ</t>
    </rPh>
    <phoneticPr fontId="2"/>
  </si>
  <si>
    <t>第５委員会</t>
    <rPh sb="0" eb="1">
      <t>ダイ</t>
    </rPh>
    <rPh sb="2" eb="5">
      <t>イインカイ</t>
    </rPh>
    <phoneticPr fontId="2"/>
  </si>
  <si>
    <t>議員控室１～７</t>
    <rPh sb="0" eb="4">
      <t>ギインヒカエシツ</t>
    </rPh>
    <phoneticPr fontId="2"/>
  </si>
  <si>
    <t>Bコア物品庫</t>
    <rPh sb="3" eb="6">
      <t>ブッピンコ</t>
    </rPh>
    <phoneticPr fontId="2"/>
  </si>
  <si>
    <t>Cコア書庫</t>
    <rPh sb="3" eb="5">
      <t>ショコ</t>
    </rPh>
    <phoneticPr fontId="2"/>
  </si>
  <si>
    <t>議場</t>
    <rPh sb="0" eb="2">
      <t>ギジョウ</t>
    </rPh>
    <phoneticPr fontId="2"/>
  </si>
  <si>
    <t>市政記者席</t>
    <rPh sb="0" eb="2">
      <t>シセイ</t>
    </rPh>
    <rPh sb="2" eb="5">
      <t>キシャセキ</t>
    </rPh>
    <phoneticPr fontId="2"/>
  </si>
  <si>
    <t>ZdC</t>
    <phoneticPr fontId="2"/>
  </si>
  <si>
    <t>FHT24W</t>
    <phoneticPr fontId="2"/>
  </si>
  <si>
    <t>FL20W</t>
    <phoneticPr fontId="2"/>
  </si>
  <si>
    <t>表示灯</t>
    <rPh sb="0" eb="3">
      <t>ヒョウジトウ</t>
    </rPh>
    <phoneticPr fontId="2"/>
  </si>
  <si>
    <t>第１委員会室</t>
    <rPh sb="0" eb="1">
      <t>ダイ</t>
    </rPh>
    <rPh sb="2" eb="5">
      <t>イインカイ</t>
    </rPh>
    <rPh sb="5" eb="6">
      <t>シツ</t>
    </rPh>
    <phoneticPr fontId="2"/>
  </si>
  <si>
    <t>第２委員会室</t>
    <rPh sb="0" eb="1">
      <t>ダイ</t>
    </rPh>
    <rPh sb="2" eb="5">
      <t>イインカイ</t>
    </rPh>
    <rPh sb="5" eb="6">
      <t>シツ</t>
    </rPh>
    <phoneticPr fontId="2"/>
  </si>
  <si>
    <t>第３委員会室</t>
    <rPh sb="0" eb="1">
      <t>ダイ</t>
    </rPh>
    <rPh sb="2" eb="5">
      <t>イインカイ</t>
    </rPh>
    <rPh sb="5" eb="6">
      <t>シツ</t>
    </rPh>
    <phoneticPr fontId="2"/>
  </si>
  <si>
    <t>第４委員会室</t>
    <rPh sb="0" eb="1">
      <t>ダイ</t>
    </rPh>
    <rPh sb="2" eb="5">
      <t>イインカイ</t>
    </rPh>
    <rPh sb="5" eb="6">
      <t>シツ</t>
    </rPh>
    <phoneticPr fontId="2"/>
  </si>
  <si>
    <t>議員ロビー</t>
    <rPh sb="0" eb="2">
      <t>ギイン</t>
    </rPh>
    <phoneticPr fontId="2"/>
  </si>
  <si>
    <t>8F</t>
  </si>
  <si>
    <t>Dコア更衣室</t>
    <rPh sb="3" eb="6">
      <t>コウイシツ</t>
    </rPh>
    <phoneticPr fontId="2"/>
  </si>
  <si>
    <t>Dコア湯沸室</t>
    <rPh sb="3" eb="5">
      <t>ユワ</t>
    </rPh>
    <rPh sb="5" eb="6">
      <t>シツ</t>
    </rPh>
    <phoneticPr fontId="2"/>
  </si>
  <si>
    <t>DコアEPS</t>
    <phoneticPr fontId="2"/>
  </si>
  <si>
    <t>Dコア階段</t>
    <rPh sb="3" eb="5">
      <t>カイダン</t>
    </rPh>
    <phoneticPr fontId="2"/>
  </si>
  <si>
    <t>Dコア女子便所</t>
    <rPh sb="3" eb="7">
      <t>ジョシベンジョ</t>
    </rPh>
    <phoneticPr fontId="2"/>
  </si>
  <si>
    <t>Dコア男子便所</t>
    <rPh sb="3" eb="7">
      <t>ダンシベンジョ</t>
    </rPh>
    <phoneticPr fontId="2"/>
  </si>
  <si>
    <t>第２会議室</t>
    <rPh sb="0" eb="1">
      <t>ダイ</t>
    </rPh>
    <rPh sb="2" eb="5">
      <t>カイギシツ</t>
    </rPh>
    <phoneticPr fontId="2"/>
  </si>
  <si>
    <t>第１会議室</t>
    <rPh sb="0" eb="1">
      <t>ダイ</t>
    </rPh>
    <rPh sb="2" eb="5">
      <t>カイギシツ</t>
    </rPh>
    <phoneticPr fontId="2"/>
  </si>
  <si>
    <t>倉庫１</t>
    <rPh sb="0" eb="2">
      <t>ソウコ</t>
    </rPh>
    <phoneticPr fontId="2"/>
  </si>
  <si>
    <t>倉庫２</t>
    <rPh sb="0" eb="2">
      <t>ソウコ</t>
    </rPh>
    <phoneticPr fontId="2"/>
  </si>
  <si>
    <t>総務部市史編さん室</t>
    <rPh sb="0" eb="3">
      <t>ソウムブ</t>
    </rPh>
    <rPh sb="3" eb="4">
      <t>シ</t>
    </rPh>
    <rPh sb="4" eb="5">
      <t>シ</t>
    </rPh>
    <rPh sb="5" eb="6">
      <t>ヘン</t>
    </rPh>
    <rPh sb="8" eb="9">
      <t>シツ</t>
    </rPh>
    <phoneticPr fontId="2"/>
  </si>
  <si>
    <t>市史編さん室</t>
    <rPh sb="0" eb="1">
      <t>シ</t>
    </rPh>
    <rPh sb="1" eb="2">
      <t>シ</t>
    </rPh>
    <rPh sb="2" eb="3">
      <t>ヘン</t>
    </rPh>
    <rPh sb="5" eb="6">
      <t>シツ</t>
    </rPh>
    <phoneticPr fontId="2"/>
  </si>
  <si>
    <t>福祉協会・年金者連盟</t>
    <rPh sb="0" eb="4">
      <t>フクシキョウカイ</t>
    </rPh>
    <rPh sb="5" eb="10">
      <t>ネンキンシャレンメイ</t>
    </rPh>
    <phoneticPr fontId="2"/>
  </si>
  <si>
    <t>総務部OAルーム</t>
    <rPh sb="0" eb="3">
      <t>ソウムブ</t>
    </rPh>
    <phoneticPr fontId="2"/>
  </si>
  <si>
    <t>総務部情報システム課</t>
    <rPh sb="0" eb="3">
      <t>ソウムブ</t>
    </rPh>
    <rPh sb="3" eb="5">
      <t>ジョウホウ</t>
    </rPh>
    <rPh sb="9" eb="10">
      <t>カ</t>
    </rPh>
    <phoneticPr fontId="2"/>
  </si>
  <si>
    <t>選挙管理委員会事務局選挙課</t>
    <rPh sb="0" eb="4">
      <t>センキョカンリ</t>
    </rPh>
    <rPh sb="4" eb="7">
      <t>イインカイ</t>
    </rPh>
    <rPh sb="7" eb="10">
      <t>ジムキョク</t>
    </rPh>
    <rPh sb="10" eb="13">
      <t>センキョカ</t>
    </rPh>
    <phoneticPr fontId="2"/>
  </si>
  <si>
    <t>第３会議室</t>
    <rPh sb="0" eb="1">
      <t>ダイ</t>
    </rPh>
    <rPh sb="2" eb="5">
      <t>カイギシツ</t>
    </rPh>
    <phoneticPr fontId="2"/>
  </si>
  <si>
    <t>ハロンボンベ室</t>
    <rPh sb="6" eb="7">
      <t>シツ</t>
    </rPh>
    <phoneticPr fontId="2"/>
  </si>
  <si>
    <t>マシン室</t>
    <rPh sb="3" eb="4">
      <t>シツ</t>
    </rPh>
    <phoneticPr fontId="2"/>
  </si>
  <si>
    <t>物品庫</t>
    <rPh sb="0" eb="3">
      <t>ブッピンコ</t>
    </rPh>
    <phoneticPr fontId="2"/>
  </si>
  <si>
    <t>作業室</t>
    <rPh sb="0" eb="3">
      <t>サギョウシツ</t>
    </rPh>
    <phoneticPr fontId="2"/>
  </si>
  <si>
    <t>パンチ室１</t>
    <rPh sb="3" eb="4">
      <t>シツ</t>
    </rPh>
    <phoneticPr fontId="2"/>
  </si>
  <si>
    <t>パンチ室２</t>
    <rPh sb="3" eb="4">
      <t>シツ</t>
    </rPh>
    <phoneticPr fontId="2"/>
  </si>
  <si>
    <t>Bコア多目的WC</t>
    <rPh sb="3" eb="6">
      <t>タモクテキ</t>
    </rPh>
    <phoneticPr fontId="2"/>
  </si>
  <si>
    <t>物品庫１</t>
    <rPh sb="0" eb="3">
      <t>ブッピンコ</t>
    </rPh>
    <phoneticPr fontId="2"/>
  </si>
  <si>
    <t>物品庫２</t>
    <rPh sb="0" eb="3">
      <t>ブッピンコ</t>
    </rPh>
    <phoneticPr fontId="2"/>
  </si>
  <si>
    <t>物品庫３</t>
    <rPh sb="0" eb="3">
      <t>ブッピンコ</t>
    </rPh>
    <phoneticPr fontId="2"/>
  </si>
  <si>
    <t>議場上部</t>
    <rPh sb="0" eb="4">
      <t>ギジョウジョウブ</t>
    </rPh>
    <phoneticPr fontId="2"/>
  </si>
  <si>
    <t>前室</t>
    <rPh sb="0" eb="2">
      <t>マエシツ</t>
    </rPh>
    <phoneticPr fontId="2"/>
  </si>
  <si>
    <t>録音調整室</t>
    <rPh sb="0" eb="5">
      <t>ロクオンチョウセイシツ</t>
    </rPh>
    <phoneticPr fontId="2"/>
  </si>
  <si>
    <t>CコアPBX機械室</t>
    <rPh sb="6" eb="9">
      <t>キカイシツ</t>
    </rPh>
    <phoneticPr fontId="2"/>
  </si>
  <si>
    <t>休憩室</t>
    <rPh sb="0" eb="3">
      <t>キュウケイシツ</t>
    </rPh>
    <phoneticPr fontId="2"/>
  </si>
  <si>
    <t>電話交換室</t>
    <rPh sb="0" eb="5">
      <t>デンワコウカンシツ</t>
    </rPh>
    <phoneticPr fontId="2"/>
  </si>
  <si>
    <t>市職労書記局</t>
    <rPh sb="0" eb="3">
      <t>シショクロウ</t>
    </rPh>
    <rPh sb="3" eb="6">
      <t>ショキキョク</t>
    </rPh>
    <phoneticPr fontId="2"/>
  </si>
  <si>
    <t>市労連事務局</t>
    <rPh sb="0" eb="3">
      <t>シロウレン</t>
    </rPh>
    <rPh sb="3" eb="6">
      <t>ジムキョク</t>
    </rPh>
    <phoneticPr fontId="2"/>
  </si>
  <si>
    <t>嘱臨労書記室</t>
    <rPh sb="0" eb="1">
      <t>ショク</t>
    </rPh>
    <rPh sb="1" eb="2">
      <t>リン</t>
    </rPh>
    <rPh sb="2" eb="3">
      <t>ロウ</t>
    </rPh>
    <rPh sb="3" eb="5">
      <t>ショキ</t>
    </rPh>
    <rPh sb="5" eb="6">
      <t>シツ</t>
    </rPh>
    <phoneticPr fontId="2"/>
  </si>
  <si>
    <t>休憩室(女子)</t>
    <rPh sb="0" eb="3">
      <t>キュウケイシツ</t>
    </rPh>
    <rPh sb="4" eb="6">
      <t>ジョシ</t>
    </rPh>
    <phoneticPr fontId="2"/>
  </si>
  <si>
    <t>休憩室(男子)</t>
    <rPh sb="0" eb="3">
      <t>キュウケイシツ</t>
    </rPh>
    <rPh sb="4" eb="6">
      <t>ダンシ</t>
    </rPh>
    <phoneticPr fontId="2"/>
  </si>
  <si>
    <t>診療所５</t>
    <rPh sb="0" eb="3">
      <t>シンリョウジョ</t>
    </rPh>
    <phoneticPr fontId="2"/>
  </si>
  <si>
    <t>診療所４</t>
    <rPh sb="0" eb="3">
      <t>シンリョウジョ</t>
    </rPh>
    <phoneticPr fontId="2"/>
  </si>
  <si>
    <t>診療所３</t>
    <rPh sb="0" eb="3">
      <t>シンリョウジョ</t>
    </rPh>
    <phoneticPr fontId="2"/>
  </si>
  <si>
    <t>診療所２</t>
    <rPh sb="0" eb="3">
      <t>シンリョウジョ</t>
    </rPh>
    <phoneticPr fontId="2"/>
  </si>
  <si>
    <t>診療所１</t>
    <rPh sb="0" eb="3">
      <t>シンリョウジョ</t>
    </rPh>
    <phoneticPr fontId="2"/>
  </si>
  <si>
    <t>調理室</t>
    <rPh sb="0" eb="3">
      <t>チョウリシツ</t>
    </rPh>
    <phoneticPr fontId="2"/>
  </si>
  <si>
    <t>喫茶室</t>
    <rPh sb="0" eb="3">
      <t>キッサシツ</t>
    </rPh>
    <phoneticPr fontId="2"/>
  </si>
  <si>
    <t>FHT42W</t>
    <phoneticPr fontId="2"/>
  </si>
  <si>
    <t>IL40W</t>
    <phoneticPr fontId="2"/>
  </si>
  <si>
    <t>和風ブラケット</t>
    <rPh sb="0" eb="2">
      <t>ワフウ</t>
    </rPh>
    <phoneticPr fontId="2"/>
  </si>
  <si>
    <t>8F</t>
    <phoneticPr fontId="2"/>
  </si>
  <si>
    <t>XBL</t>
    <phoneticPr fontId="2"/>
  </si>
  <si>
    <t>市議会傍聴受付</t>
    <rPh sb="0" eb="3">
      <t>シギカイ</t>
    </rPh>
    <rPh sb="3" eb="5">
      <t>ボウチョウ</t>
    </rPh>
    <rPh sb="5" eb="7">
      <t>ウケツケ</t>
    </rPh>
    <phoneticPr fontId="2"/>
  </si>
  <si>
    <t>議場上部</t>
    <rPh sb="0" eb="2">
      <t>ギジョウ</t>
    </rPh>
    <rPh sb="2" eb="4">
      <t>ジョウブ</t>
    </rPh>
    <phoneticPr fontId="2"/>
  </si>
  <si>
    <t>CF3W</t>
    <phoneticPr fontId="2"/>
  </si>
  <si>
    <t>RF</t>
  </si>
  <si>
    <t>RF</t>
    <phoneticPr fontId="2"/>
  </si>
  <si>
    <t>ファン室(6)</t>
  </si>
  <si>
    <t>D階段</t>
  </si>
  <si>
    <t>D階段外部</t>
  </si>
  <si>
    <t>ファン室(7)</t>
  </si>
  <si>
    <t>ファン室(7)外部</t>
  </si>
  <si>
    <t>ファン室(8)</t>
  </si>
  <si>
    <t>エレベーター機械室(1)</t>
  </si>
  <si>
    <t>ファン室(1)</t>
  </si>
  <si>
    <t>A階段</t>
  </si>
  <si>
    <t>A階段外部</t>
  </si>
  <si>
    <t>ファン室(2)</t>
  </si>
  <si>
    <t>B階段</t>
  </si>
  <si>
    <t>B階段外部</t>
  </si>
  <si>
    <t>ファン室(3)</t>
  </si>
  <si>
    <t>ファン室(5)</t>
  </si>
  <si>
    <t>C階段</t>
  </si>
  <si>
    <t>C階段外部</t>
  </si>
  <si>
    <t>ファン室(4)</t>
  </si>
  <si>
    <t>エレベーター機械室(2)</t>
  </si>
  <si>
    <t>F階段外部</t>
  </si>
  <si>
    <t>F階段</t>
  </si>
  <si>
    <t>エレベーター機械室</t>
  </si>
  <si>
    <t>高置水槽室</t>
  </si>
  <si>
    <t>ブラケット器具</t>
  </si>
  <si>
    <t>笠付</t>
    <phoneticPr fontId="2"/>
  </si>
  <si>
    <t>ブラケット器具</t>
    <phoneticPr fontId="2"/>
  </si>
  <si>
    <t>片反射笠付</t>
    <phoneticPr fontId="2"/>
  </si>
  <si>
    <t>逆富士（高出力）</t>
    <phoneticPr fontId="2"/>
  </si>
  <si>
    <t>第２会議室上部</t>
    <rPh sb="0" eb="1">
      <t>ダイ</t>
    </rPh>
    <rPh sb="2" eb="5">
      <t>カイギシツ</t>
    </rPh>
    <rPh sb="5" eb="7">
      <t>ジョウブ</t>
    </rPh>
    <phoneticPr fontId="2"/>
  </si>
  <si>
    <t>大会議室上部</t>
    <rPh sb="0" eb="1">
      <t>ダイ</t>
    </rPh>
    <rPh sb="1" eb="4">
      <t>カイギシツ</t>
    </rPh>
    <rPh sb="4" eb="6">
      <t>ジョウブ</t>
    </rPh>
    <phoneticPr fontId="2"/>
  </si>
  <si>
    <t>第１会議室上部</t>
    <rPh sb="0" eb="1">
      <t>ダイ</t>
    </rPh>
    <rPh sb="2" eb="5">
      <t>カイギシツ</t>
    </rPh>
    <rPh sb="5" eb="7">
      <t>ジョウブ</t>
    </rPh>
    <phoneticPr fontId="2"/>
  </si>
  <si>
    <t>R2F</t>
    <phoneticPr fontId="2"/>
  </si>
  <si>
    <t>R3F</t>
    <phoneticPr fontId="2"/>
  </si>
  <si>
    <t>4F</t>
  </si>
  <si>
    <t>Dコア廊下</t>
  </si>
  <si>
    <t>Dコア階段</t>
  </si>
  <si>
    <t>市民活動･会議室</t>
  </si>
  <si>
    <t>港湾空港部</t>
  </si>
  <si>
    <t>エレベーターホール</t>
  </si>
  <si>
    <t>廊下</t>
  </si>
  <si>
    <t>Aコア階段</t>
  </si>
  <si>
    <t>Aコア廊下</t>
  </si>
  <si>
    <t>都市整備課</t>
  </si>
  <si>
    <t>都市建設部</t>
  </si>
  <si>
    <t>企画</t>
  </si>
  <si>
    <t>書庫</t>
  </si>
  <si>
    <t>Bコア廊下</t>
  </si>
  <si>
    <t>Bコア階段</t>
  </si>
  <si>
    <t>土木部</t>
  </si>
  <si>
    <t>物品庫</t>
  </si>
  <si>
    <t>青写真室</t>
  </si>
  <si>
    <t>Cコア廊下</t>
  </si>
  <si>
    <t>Cコア階段</t>
  </si>
  <si>
    <t>吹抜</t>
  </si>
  <si>
    <t>システム天井</t>
  </si>
  <si>
    <t>V321</t>
  </si>
  <si>
    <t>A321PJ</t>
  </si>
  <si>
    <t>L161</t>
  </si>
  <si>
    <t>Ma321E</t>
  </si>
  <si>
    <t>Mb321E</t>
  </si>
  <si>
    <t>S322</t>
  </si>
  <si>
    <t>S162</t>
  </si>
  <si>
    <t>T321PX</t>
  </si>
  <si>
    <t>T321PJ</t>
  </si>
  <si>
    <t>L321</t>
  </si>
  <si>
    <t>A161</t>
  </si>
  <si>
    <t>V322PX</t>
  </si>
  <si>
    <t>K321</t>
  </si>
  <si>
    <t>A322PX</t>
  </si>
  <si>
    <t>q300</t>
  </si>
  <si>
    <t>Dコア更衣室</t>
    <phoneticPr fontId="2"/>
  </si>
  <si>
    <t>Dコア湯沸室</t>
    <phoneticPr fontId="2"/>
  </si>
  <si>
    <t>Dコア女子便所</t>
    <phoneticPr fontId="2"/>
  </si>
  <si>
    <t>Dコア男子便所</t>
    <phoneticPr fontId="2"/>
  </si>
  <si>
    <t>逆富士</t>
    <phoneticPr fontId="2"/>
  </si>
  <si>
    <t>埋込W190</t>
    <phoneticPr fontId="2"/>
  </si>
  <si>
    <t>片反射笠付（高出力）</t>
    <phoneticPr fontId="2"/>
  </si>
  <si>
    <t>LED電球</t>
    <rPh sb="3" eb="5">
      <t>デンキュウ</t>
    </rPh>
    <phoneticPr fontId="6"/>
  </si>
  <si>
    <t>システム天井</t>
    <phoneticPr fontId="2"/>
  </si>
  <si>
    <t>トラフ</t>
  </si>
  <si>
    <t>埋込W　高出力</t>
    <phoneticPr fontId="2"/>
  </si>
  <si>
    <t>埋込W300</t>
    <phoneticPr fontId="2"/>
  </si>
  <si>
    <t>Aコア更衣室</t>
    <phoneticPr fontId="2"/>
  </si>
  <si>
    <t>Bコア女子便所</t>
    <phoneticPr fontId="2"/>
  </si>
  <si>
    <t>Bコア男子便所</t>
    <phoneticPr fontId="2"/>
  </si>
  <si>
    <t>Bコア湯沸室</t>
    <phoneticPr fontId="2"/>
  </si>
  <si>
    <t>Bコア更衣室</t>
    <phoneticPr fontId="2"/>
  </si>
  <si>
    <t>Cコア物品庫</t>
    <phoneticPr fontId="2"/>
  </si>
  <si>
    <t>廊下</t>
    <phoneticPr fontId="2"/>
  </si>
  <si>
    <t>レセップ</t>
    <phoneticPr fontId="2"/>
  </si>
  <si>
    <t>MH300W</t>
    <phoneticPr fontId="2"/>
  </si>
  <si>
    <t>3F</t>
  </si>
  <si>
    <t>更衣室</t>
  </si>
  <si>
    <t>都市建設部都市整備課</t>
  </si>
  <si>
    <t>福祉部</t>
  </si>
  <si>
    <t>商工観光部</t>
  </si>
  <si>
    <t>A321</t>
  </si>
  <si>
    <t>Dコア湯沸室</t>
  </si>
  <si>
    <t>農林水産部</t>
    <rPh sb="0" eb="2">
      <t>ノウリン</t>
    </rPh>
    <rPh sb="2" eb="4">
      <t>スイサン</t>
    </rPh>
    <rPh sb="4" eb="5">
      <t>ブ</t>
    </rPh>
    <phoneticPr fontId="6"/>
  </si>
  <si>
    <t>都市建設部</t>
    <phoneticPr fontId="6"/>
  </si>
  <si>
    <t>更衣室</t>
    <phoneticPr fontId="2"/>
  </si>
  <si>
    <t>農業委員会事務局</t>
    <rPh sb="0" eb="8">
      <t>ノウギョウイインカイジムキョク</t>
    </rPh>
    <phoneticPr fontId="6"/>
  </si>
  <si>
    <t>青写真室</t>
    <rPh sb="0" eb="4">
      <t>アオシャシンシツ</t>
    </rPh>
    <phoneticPr fontId="2"/>
  </si>
  <si>
    <t>A322PX</t>
    <phoneticPr fontId="2"/>
  </si>
  <si>
    <t>埋込W300</t>
    <rPh sb="0" eb="1">
      <t>ウ</t>
    </rPh>
    <rPh sb="1" eb="2">
      <t>コ</t>
    </rPh>
    <phoneticPr fontId="2"/>
  </si>
  <si>
    <t>2F</t>
  </si>
  <si>
    <t>財務部</t>
  </si>
  <si>
    <t>吹き抜け</t>
    <rPh sb="0" eb="1">
      <t>フ</t>
    </rPh>
    <rPh sb="2" eb="3">
      <t>ヌ</t>
    </rPh>
    <phoneticPr fontId="6"/>
  </si>
  <si>
    <t>埋込　高出力</t>
    <phoneticPr fontId="2"/>
  </si>
  <si>
    <t>笠付（高出力）</t>
    <phoneticPr fontId="2"/>
  </si>
  <si>
    <t>K161</t>
  </si>
  <si>
    <t>Dコア男子便所</t>
    <phoneticPr fontId="6"/>
  </si>
  <si>
    <t>Dコア女子便所</t>
    <rPh sb="3" eb="5">
      <t>ジョシ</t>
    </rPh>
    <rPh sb="5" eb="7">
      <t>ベンジョ</t>
    </rPh>
    <phoneticPr fontId="6"/>
  </si>
  <si>
    <t>ダウンライト　□275</t>
    <phoneticPr fontId="2"/>
  </si>
  <si>
    <t>ZFC</t>
    <phoneticPr fontId="2"/>
  </si>
  <si>
    <t>台数集計</t>
    <rPh sb="0" eb="4">
      <t>ダイスウシュウケイ</t>
    </rPh>
    <phoneticPr fontId="2"/>
  </si>
  <si>
    <t>B1</t>
    <phoneticPr fontId="2"/>
  </si>
  <si>
    <t>1F</t>
  </si>
  <si>
    <t>1F</t>
    <phoneticPr fontId="2"/>
  </si>
  <si>
    <t>2F</t>
    <phoneticPr fontId="2"/>
  </si>
  <si>
    <t>照明</t>
    <rPh sb="0" eb="2">
      <t>ショウメイ</t>
    </rPh>
    <phoneticPr fontId="2"/>
  </si>
  <si>
    <t>計</t>
    <rPh sb="0" eb="1">
      <t>ケイ</t>
    </rPh>
    <phoneticPr fontId="2"/>
  </si>
  <si>
    <t>更新</t>
  </si>
  <si>
    <t>更新</t>
    <phoneticPr fontId="2"/>
  </si>
  <si>
    <t>庇下</t>
  </si>
  <si>
    <t>風除室</t>
  </si>
  <si>
    <t>市民相談待合室</t>
  </si>
  <si>
    <t>市民相談室</t>
  </si>
  <si>
    <t>市民部</t>
  </si>
  <si>
    <t>湯沸室</t>
  </si>
  <si>
    <t>耐火保管庫</t>
  </si>
  <si>
    <t>Cコア湯沸室</t>
  </si>
  <si>
    <t>レセプト点検室</t>
  </si>
  <si>
    <t>収入役室</t>
  </si>
  <si>
    <t>金庫室</t>
  </si>
  <si>
    <t>会計課</t>
  </si>
  <si>
    <t>会計課窓口</t>
  </si>
  <si>
    <t>1-2</t>
  </si>
  <si>
    <t>指定金融機関</t>
  </si>
  <si>
    <t>赤ちゃん休養所</t>
  </si>
  <si>
    <t>サービスコーナー</t>
  </si>
  <si>
    <t>1-1</t>
  </si>
  <si>
    <t>O321B</t>
  </si>
  <si>
    <t>O321A</t>
  </si>
  <si>
    <t>V322PJ</t>
  </si>
  <si>
    <t>Ca326PD</t>
  </si>
  <si>
    <t>IL60W</t>
    <phoneticPr fontId="6"/>
  </si>
  <si>
    <t>15W</t>
    <phoneticPr fontId="6"/>
  </si>
  <si>
    <t>ミラー灯</t>
    <phoneticPr fontId="2"/>
  </si>
  <si>
    <t>直付開放</t>
    <phoneticPr fontId="2"/>
  </si>
  <si>
    <t>埋込下面開放</t>
    <phoneticPr fontId="2"/>
  </si>
  <si>
    <t>直付下面開放</t>
    <phoneticPr fontId="2"/>
  </si>
  <si>
    <t>スクエア</t>
    <phoneticPr fontId="2"/>
  </si>
  <si>
    <t>風除室</t>
    <rPh sb="0" eb="3">
      <t>フウジョシツ</t>
    </rPh>
    <phoneticPr fontId="2"/>
  </si>
  <si>
    <t>市民ホール</t>
    <rPh sb="0" eb="2">
      <t>シミン</t>
    </rPh>
    <phoneticPr fontId="2"/>
  </si>
  <si>
    <t>XrBH</t>
    <phoneticPr fontId="2"/>
  </si>
  <si>
    <t>XrBL</t>
    <phoneticPr fontId="2"/>
  </si>
  <si>
    <t>FHF32W</t>
    <phoneticPr fontId="6"/>
  </si>
  <si>
    <t>直管LED</t>
    <rPh sb="0" eb="2">
      <t>チョッカン</t>
    </rPh>
    <phoneticPr fontId="2"/>
  </si>
  <si>
    <t>非更新</t>
    <rPh sb="0" eb="3">
      <t>ヒコウシン</t>
    </rPh>
    <phoneticPr fontId="2"/>
  </si>
  <si>
    <t>福祉部</t>
    <phoneticPr fontId="2"/>
  </si>
  <si>
    <t>財務部</t>
    <phoneticPr fontId="2"/>
  </si>
  <si>
    <t>B1</t>
  </si>
  <si>
    <t>廊下(D)</t>
  </si>
  <si>
    <t>ホール</t>
  </si>
  <si>
    <t>自動販売機コーナー</t>
  </si>
  <si>
    <t>車庫(1)</t>
  </si>
  <si>
    <t>空調機室(2)</t>
  </si>
  <si>
    <t>更衣室(1)</t>
  </si>
  <si>
    <t>受電室</t>
  </si>
  <si>
    <t>廊下(B)</t>
  </si>
  <si>
    <t>空調機室(3)</t>
  </si>
  <si>
    <t>物品庫4</t>
  </si>
  <si>
    <t>物品庫5</t>
  </si>
  <si>
    <t>売店</t>
  </si>
  <si>
    <t>事務室</t>
  </si>
  <si>
    <t>物品庫2</t>
  </si>
  <si>
    <t>食堂</t>
    <rPh sb="0" eb="2">
      <t>ショクドウ</t>
    </rPh>
    <phoneticPr fontId="6"/>
  </si>
  <si>
    <t>食堂</t>
  </si>
  <si>
    <t>休憩室</t>
  </si>
  <si>
    <t>廊下(C)</t>
  </si>
  <si>
    <t>警備防災センター</t>
  </si>
  <si>
    <t>警備員室</t>
  </si>
  <si>
    <t>物品庫6</t>
  </si>
  <si>
    <t>空調機室(5)</t>
  </si>
  <si>
    <t>風除室(2)</t>
  </si>
  <si>
    <t>空調機室(4)</t>
  </si>
  <si>
    <t>物品庫3</t>
  </si>
  <si>
    <t>受水槽室</t>
  </si>
  <si>
    <t>MDF室</t>
  </si>
  <si>
    <t>プラットホーム</t>
    <phoneticPr fontId="6"/>
  </si>
  <si>
    <t>風除室(3)</t>
  </si>
  <si>
    <t>宿日直室</t>
  </si>
  <si>
    <t>手さげ金庫保管室</t>
  </si>
  <si>
    <t>用務員室</t>
  </si>
  <si>
    <t>委託業者控室</t>
  </si>
  <si>
    <t>塵芥集積所(生)</t>
  </si>
  <si>
    <t>塵芥集積所</t>
  </si>
  <si>
    <t>物品庫7</t>
  </si>
  <si>
    <t>オイルポンプ室</t>
  </si>
  <si>
    <t>自家発電機室</t>
  </si>
  <si>
    <t>車庫(2)</t>
  </si>
  <si>
    <t>受水槽室</t>
    <phoneticPr fontId="6"/>
  </si>
  <si>
    <t>風除室(1)</t>
    <rPh sb="0" eb="3">
      <t>フウジョシツ</t>
    </rPh>
    <phoneticPr fontId="6"/>
  </si>
  <si>
    <t>A321PX</t>
  </si>
  <si>
    <t>K322</t>
  </si>
  <si>
    <t>V162</t>
  </si>
  <si>
    <t>Ba323</t>
  </si>
  <si>
    <t>N322</t>
  </si>
  <si>
    <t>A322PJ</t>
  </si>
  <si>
    <t>W321</t>
  </si>
  <si>
    <t>A162</t>
  </si>
  <si>
    <t>片反射笠付（高出力）</t>
  </si>
  <si>
    <t>笠付</t>
  </si>
  <si>
    <t>コップ型</t>
    <phoneticPr fontId="2"/>
  </si>
  <si>
    <t>埋込Φ800　乳白カバー</t>
    <phoneticPr fontId="2"/>
  </si>
  <si>
    <t>IL40W</t>
    <phoneticPr fontId="6"/>
  </si>
  <si>
    <t>IL100W</t>
    <phoneticPr fontId="6"/>
  </si>
  <si>
    <t>JD85W　</t>
    <phoneticPr fontId="6"/>
  </si>
  <si>
    <t>スポット</t>
    <phoneticPr fontId="2"/>
  </si>
  <si>
    <t>直付器具</t>
    <phoneticPr fontId="2"/>
  </si>
  <si>
    <t>FL20W</t>
    <phoneticPr fontId="6"/>
  </si>
  <si>
    <t>FPL18W</t>
    <phoneticPr fontId="6"/>
  </si>
  <si>
    <t>埋込</t>
    <phoneticPr fontId="2"/>
  </si>
  <si>
    <t>喫茶</t>
  </si>
  <si>
    <t>車路</t>
    <rPh sb="0" eb="2">
      <t>シャロ</t>
    </rPh>
    <phoneticPr fontId="2"/>
  </si>
  <si>
    <t>廊下(D)</t>
    <phoneticPr fontId="2"/>
  </si>
  <si>
    <t>秘書課運転者控室</t>
    <phoneticPr fontId="2"/>
  </si>
  <si>
    <t>公用車運転者控室</t>
    <phoneticPr fontId="2"/>
  </si>
  <si>
    <t>Dコア便所</t>
    <phoneticPr fontId="2"/>
  </si>
  <si>
    <t>Dコア便所</t>
    <phoneticPr fontId="6"/>
  </si>
  <si>
    <t>Aコア物品庫</t>
    <phoneticPr fontId="2"/>
  </si>
  <si>
    <t>笠付　チェーン吊</t>
    <rPh sb="7" eb="8">
      <t>ツ</t>
    </rPh>
    <phoneticPr fontId="2"/>
  </si>
  <si>
    <t>外構</t>
    <rPh sb="0" eb="2">
      <t>ガイコウ</t>
    </rPh>
    <phoneticPr fontId="2"/>
  </si>
  <si>
    <t>NH360投光器</t>
    <rPh sb="5" eb="8">
      <t>トウコウキ</t>
    </rPh>
    <phoneticPr fontId="6"/>
  </si>
  <si>
    <t>HF40ｶﾞｰﾃﾞﾝライト</t>
    <phoneticPr fontId="6"/>
  </si>
  <si>
    <t>足元灯</t>
    <rPh sb="0" eb="3">
      <t>アシモトトウ</t>
    </rPh>
    <phoneticPr fontId="6"/>
  </si>
  <si>
    <t>HF250外灯　丸</t>
    <rPh sb="5" eb="7">
      <t>ガイトウ</t>
    </rPh>
    <rPh sb="8" eb="9">
      <t>マル</t>
    </rPh>
    <phoneticPr fontId="6"/>
  </si>
  <si>
    <t>2灯式駐車場灯</t>
    <rPh sb="1" eb="3">
      <t>トウシキ</t>
    </rPh>
    <rPh sb="3" eb="7">
      <t>チュウシャジョウトウ</t>
    </rPh>
    <phoneticPr fontId="6"/>
  </si>
  <si>
    <t>NH360W</t>
    <phoneticPr fontId="6"/>
  </si>
  <si>
    <t>HF40W</t>
    <phoneticPr fontId="6"/>
  </si>
  <si>
    <t>HF250W</t>
    <phoneticPr fontId="6"/>
  </si>
  <si>
    <t>屋外</t>
    <rPh sb="0" eb="2">
      <t>オクガイ</t>
    </rPh>
    <phoneticPr fontId="2"/>
  </si>
  <si>
    <t>投光器</t>
    <rPh sb="0" eb="3">
      <t>トウコウキ</t>
    </rPh>
    <phoneticPr fontId="2"/>
  </si>
  <si>
    <t>Cコア通用口外通路</t>
    <rPh sb="3" eb="6">
      <t>ツウヨウグチ</t>
    </rPh>
    <rPh sb="6" eb="7">
      <t>ソト</t>
    </rPh>
    <rPh sb="7" eb="9">
      <t>ツウロ</t>
    </rPh>
    <phoneticPr fontId="2"/>
  </si>
  <si>
    <t>ベースライト　直付</t>
    <rPh sb="7" eb="9">
      <t>ジカヅ</t>
    </rPh>
    <phoneticPr fontId="2"/>
  </si>
  <si>
    <t>Aコア階段下(ポンプ室A)</t>
    <rPh sb="5" eb="6">
      <t>シタ</t>
    </rPh>
    <rPh sb="10" eb="11">
      <t>シツ</t>
    </rPh>
    <phoneticPr fontId="2"/>
  </si>
  <si>
    <t>理髪室</t>
    <rPh sb="0" eb="3">
      <t>リハツシツ</t>
    </rPh>
    <phoneticPr fontId="6"/>
  </si>
  <si>
    <t>物品庫1</t>
    <rPh sb="0" eb="3">
      <t>ブッピンコ</t>
    </rPh>
    <phoneticPr fontId="6"/>
  </si>
  <si>
    <t>K321p</t>
    <phoneticPr fontId="2"/>
  </si>
  <si>
    <t>休憩室</t>
    <phoneticPr fontId="6"/>
  </si>
  <si>
    <t>準備室</t>
    <rPh sb="0" eb="3">
      <t>ジュンビシツ</t>
    </rPh>
    <phoneticPr fontId="6"/>
  </si>
  <si>
    <t>待合室</t>
    <rPh sb="0" eb="3">
      <t>マチアイシツ</t>
    </rPh>
    <phoneticPr fontId="6"/>
  </si>
  <si>
    <t>FL20W×4，FL10W×2</t>
    <phoneticPr fontId="6"/>
  </si>
  <si>
    <t>売店</t>
    <rPh sb="0" eb="2">
      <t>バイテン</t>
    </rPh>
    <phoneticPr fontId="2"/>
  </si>
  <si>
    <t>Bコア男子便所</t>
    <phoneticPr fontId="6"/>
  </si>
  <si>
    <t>Bコア女子便所</t>
    <phoneticPr fontId="6"/>
  </si>
  <si>
    <t>厨房</t>
    <rPh sb="0" eb="2">
      <t>チュウボウ</t>
    </rPh>
    <phoneticPr fontId="2"/>
  </si>
  <si>
    <t>厨房(小)</t>
    <rPh sb="0" eb="2">
      <t>チュウボウ</t>
    </rPh>
    <rPh sb="3" eb="4">
      <t>ショウ</t>
    </rPh>
    <phoneticPr fontId="2"/>
  </si>
  <si>
    <t>食品庫</t>
    <rPh sb="0" eb="3">
      <t>ショクヒンコ</t>
    </rPh>
    <phoneticPr fontId="2"/>
  </si>
  <si>
    <t>K161</t>
    <phoneticPr fontId="2"/>
  </si>
  <si>
    <t>Cコア便所</t>
    <phoneticPr fontId="2"/>
  </si>
  <si>
    <t>室名なし(物品庫5下)</t>
    <rPh sb="0" eb="2">
      <t>シツメイ</t>
    </rPh>
    <rPh sb="5" eb="8">
      <t>ブッピンコ</t>
    </rPh>
    <rPh sb="9" eb="10">
      <t>シタ</t>
    </rPh>
    <phoneticPr fontId="2"/>
  </si>
  <si>
    <t>Cコア脱衣室</t>
    <rPh sb="3" eb="6">
      <t>ダツイシツ</t>
    </rPh>
    <phoneticPr fontId="2"/>
  </si>
  <si>
    <t>Cコア浴室</t>
    <rPh sb="3" eb="5">
      <t>ヨクシツ</t>
    </rPh>
    <phoneticPr fontId="2"/>
  </si>
  <si>
    <t>ファン室(11)</t>
    <rPh sb="3" eb="4">
      <t>シツ</t>
    </rPh>
    <phoneticPr fontId="2"/>
  </si>
  <si>
    <t>Cコア階段下(ポンプ室C)</t>
    <rPh sb="3" eb="6">
      <t>カイダンシタ</t>
    </rPh>
    <rPh sb="10" eb="11">
      <t>シツ</t>
    </rPh>
    <phoneticPr fontId="2"/>
  </si>
  <si>
    <t>Bコア階段下(ポンプ室B)</t>
    <rPh sb="3" eb="6">
      <t>カイダンシタ</t>
    </rPh>
    <rPh sb="10" eb="11">
      <t>シツ</t>
    </rPh>
    <phoneticPr fontId="6"/>
  </si>
  <si>
    <t>風除室(1)</t>
    <rPh sb="0" eb="3">
      <t>フウジョシツ</t>
    </rPh>
    <phoneticPr fontId="2"/>
  </si>
  <si>
    <t>時間外出入口</t>
    <rPh sb="0" eb="6">
      <t>ジカンガイデイリグチ</t>
    </rPh>
    <phoneticPr fontId="2"/>
  </si>
  <si>
    <t>時間外出入口通路</t>
    <rPh sb="0" eb="6">
      <t>ジカンガイデイリグチ</t>
    </rPh>
    <rPh sb="6" eb="8">
      <t>ツウロ</t>
    </rPh>
    <phoneticPr fontId="2"/>
  </si>
  <si>
    <t>照明のみ更新</t>
    <rPh sb="0" eb="2">
      <t>ショウメイ</t>
    </rPh>
    <rPh sb="4" eb="6">
      <t>コウシン</t>
    </rPh>
    <phoneticPr fontId="2"/>
  </si>
  <si>
    <t>Cコア更衣室</t>
    <phoneticPr fontId="2"/>
  </si>
  <si>
    <t>LED</t>
    <phoneticPr fontId="6"/>
  </si>
  <si>
    <t>Dコア車椅子用（男）</t>
    <phoneticPr fontId="2"/>
  </si>
  <si>
    <t>Dコア車椅子用（女）</t>
    <phoneticPr fontId="2"/>
  </si>
  <si>
    <t>FLR110W</t>
    <phoneticPr fontId="2"/>
  </si>
  <si>
    <t>Ca326PX</t>
    <phoneticPr fontId="2"/>
  </si>
  <si>
    <t>スクエア　埋込ルーバ</t>
    <rPh sb="5" eb="6">
      <t>ウ</t>
    </rPh>
    <rPh sb="6" eb="7">
      <t>コ</t>
    </rPh>
    <phoneticPr fontId="2"/>
  </si>
  <si>
    <t>片反射笠付(高出力)</t>
    <rPh sb="0" eb="5">
      <t>カタハンシャカサツキ</t>
    </rPh>
    <rPh sb="6" eb="9">
      <t>コウシュツリョク</t>
    </rPh>
    <phoneticPr fontId="2"/>
  </si>
  <si>
    <t>Ca326PD</t>
    <phoneticPr fontId="2"/>
  </si>
  <si>
    <t>T161PH</t>
    <phoneticPr fontId="2"/>
  </si>
  <si>
    <t>埋込W300</t>
    <rPh sb="0" eb="2">
      <t>ウメコミ</t>
    </rPh>
    <phoneticPr fontId="2"/>
  </si>
  <si>
    <t>Cb3236</t>
    <phoneticPr fontId="2"/>
  </si>
  <si>
    <t>埋込W190</t>
    <rPh sb="0" eb="2">
      <t>ウメコミ</t>
    </rPh>
    <phoneticPr fontId="2"/>
  </si>
  <si>
    <t>V321PJ</t>
    <phoneticPr fontId="2"/>
  </si>
  <si>
    <t>片反射笠付</t>
    <rPh sb="0" eb="4">
      <t>カタハンシャカサ</t>
    </rPh>
    <rPh sb="4" eb="5">
      <t>ツキ</t>
    </rPh>
    <phoneticPr fontId="2"/>
  </si>
  <si>
    <t>T161</t>
    <phoneticPr fontId="2"/>
  </si>
  <si>
    <t>K322</t>
    <phoneticPr fontId="2"/>
  </si>
  <si>
    <t>Cb3218</t>
    <phoneticPr fontId="2"/>
  </si>
  <si>
    <t>スクエア 埋込ルーバ3連結</t>
    <rPh sb="5" eb="6">
      <t>ウ</t>
    </rPh>
    <rPh sb="6" eb="7">
      <t>コ</t>
    </rPh>
    <rPh sb="11" eb="13">
      <t>レンケツ</t>
    </rPh>
    <phoneticPr fontId="2"/>
  </si>
  <si>
    <t>スクエア 埋込ルーバ 6連結</t>
    <rPh sb="5" eb="7">
      <t>ウメコミ</t>
    </rPh>
    <rPh sb="12" eb="14">
      <t>レンケツ</t>
    </rPh>
    <phoneticPr fontId="2"/>
  </si>
  <si>
    <t>V322</t>
    <phoneticPr fontId="2"/>
  </si>
  <si>
    <t>S162</t>
    <phoneticPr fontId="2"/>
  </si>
  <si>
    <t>壁付机用ブラケット</t>
    <rPh sb="0" eb="4">
      <t>カベフツクエヨウ</t>
    </rPh>
    <phoneticPr fontId="2"/>
  </si>
  <si>
    <t>片反射笠付(高出力)</t>
    <rPh sb="0" eb="3">
      <t>カタハンシャ</t>
    </rPh>
    <rPh sb="3" eb="5">
      <t>カサツキ</t>
    </rPh>
    <rPh sb="6" eb="9">
      <t>コウシュツリョク</t>
    </rPh>
    <phoneticPr fontId="2"/>
  </si>
  <si>
    <t>V321-S</t>
    <phoneticPr fontId="2"/>
  </si>
  <si>
    <t>片反射笠付</t>
    <rPh sb="0" eb="5">
      <t>カタハンシャカサツキ</t>
    </rPh>
    <phoneticPr fontId="2"/>
  </si>
  <si>
    <t>埋込W150　高出力</t>
    <rPh sb="0" eb="1">
      <t>ウ</t>
    </rPh>
    <rPh sb="1" eb="2">
      <t>コ</t>
    </rPh>
    <rPh sb="7" eb="10">
      <t>コウシュツリョク</t>
    </rPh>
    <phoneticPr fontId="2"/>
  </si>
  <si>
    <t>T161PH</t>
  </si>
  <si>
    <t>Cb3230</t>
  </si>
  <si>
    <t>トラフ　高出力</t>
    <rPh sb="4" eb="7">
      <t>コウシュツリョク</t>
    </rPh>
    <phoneticPr fontId="2"/>
  </si>
  <si>
    <t>スクエア　埋込ルーバ</t>
    <rPh sb="5" eb="7">
      <t>ウメコミ</t>
    </rPh>
    <phoneticPr fontId="2"/>
  </si>
  <si>
    <t>ダウンライト　角型</t>
    <rPh sb="7" eb="9">
      <t>カクガタ</t>
    </rPh>
    <phoneticPr fontId="2"/>
  </si>
  <si>
    <t>トラフ(高出力)</t>
    <rPh sb="4" eb="7">
      <t>コウシュツリョク</t>
    </rPh>
    <phoneticPr fontId="2"/>
  </si>
  <si>
    <t>Cd326</t>
    <phoneticPr fontId="2"/>
  </si>
  <si>
    <t>C322PX</t>
    <phoneticPr fontId="2"/>
  </si>
  <si>
    <t>K321PJ</t>
    <phoneticPr fontId="2"/>
  </si>
  <si>
    <t>A321PX</t>
    <phoneticPr fontId="2"/>
  </si>
  <si>
    <t>風除室</t>
    <phoneticPr fontId="2"/>
  </si>
  <si>
    <t>FL110R</t>
    <phoneticPr fontId="2"/>
  </si>
  <si>
    <t>庇下</t>
    <phoneticPr fontId="2"/>
  </si>
  <si>
    <t>総合案内</t>
    <rPh sb="0" eb="4">
      <t>ソウゴウアンナイ</t>
    </rPh>
    <phoneticPr fontId="2"/>
  </si>
  <si>
    <t>エントランスホール</t>
    <phoneticPr fontId="2"/>
  </si>
  <si>
    <t>Aコアロビー</t>
    <phoneticPr fontId="2"/>
  </si>
  <si>
    <t>表示灯　「使用中」</t>
    <rPh sb="0" eb="3">
      <t>ヒョウジトウ</t>
    </rPh>
    <rPh sb="5" eb="8">
      <t>シヨウチュウ</t>
    </rPh>
    <phoneticPr fontId="2"/>
  </si>
  <si>
    <t>ブラケット 「夜間・休日受付」</t>
    <rPh sb="7" eb="9">
      <t>ヤカン</t>
    </rPh>
    <rPh sb="10" eb="12">
      <t>キュウジツ</t>
    </rPh>
    <rPh sb="12" eb="14">
      <t>ウケツケ</t>
    </rPh>
    <phoneticPr fontId="2"/>
  </si>
  <si>
    <t>会計課窓口</t>
    <phoneticPr fontId="2"/>
  </si>
  <si>
    <t>Cコア通用口外通路</t>
    <rPh sb="3" eb="9">
      <t>ツウヨウグチソトツウロ</t>
    </rPh>
    <phoneticPr fontId="2"/>
  </si>
  <si>
    <t>Bコア通用口外通路</t>
    <rPh sb="3" eb="6">
      <t>ツウヨウグチ</t>
    </rPh>
    <rPh sb="6" eb="7">
      <t>ソト</t>
    </rPh>
    <rPh sb="7" eb="9">
      <t>ツウロ</t>
    </rPh>
    <phoneticPr fontId="2"/>
  </si>
  <si>
    <t>FL40W</t>
    <phoneticPr fontId="2"/>
  </si>
  <si>
    <t>市民ホール(エスカレーター下)</t>
    <rPh sb="0" eb="2">
      <t>シミン</t>
    </rPh>
    <rPh sb="13" eb="14">
      <t>シタ</t>
    </rPh>
    <phoneticPr fontId="2"/>
  </si>
  <si>
    <t>市民ホール(記載台)</t>
    <rPh sb="0" eb="2">
      <t>シミン</t>
    </rPh>
    <rPh sb="6" eb="9">
      <t>キサイダイ</t>
    </rPh>
    <phoneticPr fontId="2"/>
  </si>
  <si>
    <t>廊下(記載台)</t>
    <rPh sb="3" eb="6">
      <t>キサイダイ</t>
    </rPh>
    <phoneticPr fontId="2"/>
  </si>
  <si>
    <t>階段灯　非常灯付</t>
    <rPh sb="4" eb="8">
      <t>ヒジョウトウツ</t>
    </rPh>
    <phoneticPr fontId="2"/>
  </si>
  <si>
    <t>階段灯　非常灯付</t>
    <rPh sb="4" eb="8">
      <t>ヒジョ</t>
    </rPh>
    <phoneticPr fontId="2"/>
  </si>
  <si>
    <t>階段灯　非常灯付</t>
    <rPh sb="0" eb="3">
      <t>カイダントウ</t>
    </rPh>
    <rPh sb="4" eb="7">
      <t>ヒジョウトウ</t>
    </rPh>
    <rPh sb="7" eb="8">
      <t>ツ</t>
    </rPh>
    <phoneticPr fontId="2"/>
  </si>
  <si>
    <t>階段灯　非常灯付</t>
    <rPh sb="0" eb="3">
      <t>カイダントウ</t>
    </rPh>
    <rPh sb="4" eb="8">
      <t>ヒジョ</t>
    </rPh>
    <phoneticPr fontId="2"/>
  </si>
  <si>
    <t>スクエア　埋込ｱｸﾘﾙｶﾊﾞｰ</t>
    <rPh sb="5" eb="7">
      <t>ウメコミ</t>
    </rPh>
    <phoneticPr fontId="2"/>
  </si>
  <si>
    <t>埋込</t>
    <rPh sb="0" eb="2">
      <t>ウメコミ</t>
    </rPh>
    <phoneticPr fontId="2"/>
  </si>
  <si>
    <t>7F</t>
    <phoneticPr fontId="2"/>
  </si>
  <si>
    <t>FL10W</t>
    <phoneticPr fontId="2"/>
  </si>
  <si>
    <t>表示灯　「開会中」</t>
    <rPh sb="0" eb="3">
      <t>ヒョウジトウ</t>
    </rPh>
    <rPh sb="5" eb="8">
      <t>カイカイチュウ</t>
    </rPh>
    <phoneticPr fontId="2"/>
  </si>
  <si>
    <t>C322PJ</t>
  </si>
  <si>
    <t>V321PJ</t>
  </si>
  <si>
    <t>C323PX-S</t>
  </si>
  <si>
    <t>C323PX-P</t>
  </si>
  <si>
    <t>V321CPD</t>
  </si>
  <si>
    <t>WQ201</t>
  </si>
  <si>
    <t>A322</t>
    <phoneticPr fontId="2"/>
  </si>
  <si>
    <t>A321</t>
    <phoneticPr fontId="2"/>
  </si>
  <si>
    <t>D322PX</t>
  </si>
  <si>
    <t>埋込</t>
    <rPh sb="0" eb="1">
      <t>ウ</t>
    </rPh>
    <rPh sb="1" eb="2">
      <t>コ</t>
    </rPh>
    <phoneticPr fontId="2"/>
  </si>
  <si>
    <t>埋込　高出力</t>
    <rPh sb="0" eb="2">
      <t>ウメコミ</t>
    </rPh>
    <rPh sb="3" eb="6">
      <t>コウシュツリョク</t>
    </rPh>
    <phoneticPr fontId="2"/>
  </si>
  <si>
    <t>キッチン灯</t>
    <rPh sb="4" eb="5">
      <t>トウ</t>
    </rPh>
    <phoneticPr fontId="2"/>
  </si>
  <si>
    <t>直付下面開放</t>
    <rPh sb="0" eb="6">
      <t>チョクフカメンカイホウ</t>
    </rPh>
    <phoneticPr fontId="2"/>
  </si>
  <si>
    <t>廊下(EVホール前)</t>
    <rPh sb="0" eb="2">
      <t>ロウカ</t>
    </rPh>
    <rPh sb="8" eb="9">
      <t>マエ</t>
    </rPh>
    <phoneticPr fontId="2"/>
  </si>
  <si>
    <t>廊下(第1応接室前)</t>
    <rPh sb="0" eb="2">
      <t>ロウカ</t>
    </rPh>
    <rPh sb="3" eb="4">
      <t>ダイ</t>
    </rPh>
    <rPh sb="5" eb="8">
      <t>オウセツシツ</t>
    </rPh>
    <rPh sb="8" eb="9">
      <t>マエ</t>
    </rPh>
    <phoneticPr fontId="2"/>
  </si>
  <si>
    <t>WT201</t>
    <phoneticPr fontId="2"/>
  </si>
  <si>
    <t>WK201</t>
    <phoneticPr fontId="2"/>
  </si>
  <si>
    <t>V161</t>
    <phoneticPr fontId="2"/>
  </si>
  <si>
    <t>廊下(B,Cコア付近)</t>
    <rPh sb="0" eb="2">
      <t>ロウカ</t>
    </rPh>
    <rPh sb="8" eb="10">
      <t>フキン</t>
    </rPh>
    <phoneticPr fontId="2"/>
  </si>
  <si>
    <t>稼働台数:36台</t>
    <rPh sb="0" eb="2">
      <t>カドウ</t>
    </rPh>
    <rPh sb="2" eb="4">
      <t>ダイスウ</t>
    </rPh>
    <rPh sb="7" eb="8">
      <t>ダイ</t>
    </rPh>
    <phoneticPr fontId="2"/>
  </si>
  <si>
    <t>市民ホール(展示ケース)</t>
    <rPh sb="0" eb="2">
      <t>シミン</t>
    </rPh>
    <rPh sb="6" eb="8">
      <t>テンジ</t>
    </rPh>
    <phoneticPr fontId="2"/>
  </si>
  <si>
    <t>ea41</t>
    <phoneticPr fontId="2"/>
  </si>
  <si>
    <t>eb41</t>
    <phoneticPr fontId="2"/>
  </si>
  <si>
    <t>ec131mp</t>
    <phoneticPr fontId="2"/>
  </si>
  <si>
    <t>非常照明　電池内蔵</t>
    <rPh sb="0" eb="4">
      <t>ヒジョウショウメイ</t>
    </rPh>
    <rPh sb="5" eb="9">
      <t>デンチナイゾウ</t>
    </rPh>
    <phoneticPr fontId="2"/>
  </si>
  <si>
    <t>非常照明　電源別置型</t>
    <rPh sb="0" eb="4">
      <t>ヒジョウショウメイ</t>
    </rPh>
    <rPh sb="5" eb="9">
      <t>デンゲンベッチ</t>
    </rPh>
    <rPh sb="9" eb="10">
      <t>ガタ</t>
    </rPh>
    <phoneticPr fontId="2"/>
  </si>
  <si>
    <t>うち非更新</t>
    <rPh sb="2" eb="5">
      <t>ヒコウシン</t>
    </rPh>
    <phoneticPr fontId="2"/>
  </si>
  <si>
    <t>K322mp</t>
    <phoneticPr fontId="2"/>
  </si>
  <si>
    <t>K321mp</t>
    <phoneticPr fontId="2"/>
  </si>
  <si>
    <t>L321mp</t>
    <phoneticPr fontId="2"/>
  </si>
  <si>
    <t>T321PJmp</t>
    <phoneticPr fontId="2"/>
  </si>
  <si>
    <t>反射笠付　防湿型</t>
    <rPh sb="0" eb="4">
      <t>ハンシャカサツキ</t>
    </rPh>
    <rPh sb="5" eb="7">
      <t>ボウシツ</t>
    </rPh>
    <rPh sb="7" eb="8">
      <t>ガタ</t>
    </rPh>
    <phoneticPr fontId="2"/>
  </si>
  <si>
    <t>片反射傘　防湿型</t>
    <rPh sb="0" eb="4">
      <t>カタハンシャガサ</t>
    </rPh>
    <rPh sb="5" eb="8">
      <t>ボウシツガタ</t>
    </rPh>
    <phoneticPr fontId="2"/>
  </si>
  <si>
    <t>トラフ　防湿型</t>
    <rPh sb="4" eb="7">
      <t>ボウシツガタ</t>
    </rPh>
    <phoneticPr fontId="2"/>
  </si>
  <si>
    <t>誘導灯C級片面</t>
    <rPh sb="0" eb="3">
      <t>ユウドウトウ</t>
    </rPh>
    <rPh sb="4" eb="5">
      <t>キュウ</t>
    </rPh>
    <rPh sb="5" eb="7">
      <t>カタメン</t>
    </rPh>
    <phoneticPr fontId="2"/>
  </si>
  <si>
    <t>誘導灯C級両面</t>
    <rPh sb="0" eb="3">
      <t>ユウドウトウ</t>
    </rPh>
    <rPh sb="4" eb="5">
      <t>キュウ</t>
    </rPh>
    <rPh sb="5" eb="7">
      <t>リョウメン</t>
    </rPh>
    <phoneticPr fontId="2"/>
  </si>
  <si>
    <t>誘導灯B級BL片面</t>
    <rPh sb="0" eb="3">
      <t>ユウドウトウ</t>
    </rPh>
    <rPh sb="4" eb="5">
      <t>キュウ</t>
    </rPh>
    <rPh sb="7" eb="9">
      <t>カタメン</t>
    </rPh>
    <phoneticPr fontId="2"/>
  </si>
  <si>
    <t>誘導灯B級BH片面</t>
    <rPh sb="0" eb="3">
      <t>ユウドウトウ</t>
    </rPh>
    <rPh sb="4" eb="5">
      <t>キュウ</t>
    </rPh>
    <rPh sb="7" eb="9">
      <t>カタメン</t>
    </rPh>
    <phoneticPr fontId="2"/>
  </si>
  <si>
    <t>29台は消灯で運用</t>
    <rPh sb="2" eb="3">
      <t>ダイ</t>
    </rPh>
    <rPh sb="4" eb="6">
      <t>ショウトウ</t>
    </rPh>
    <rPh sb="7" eb="9">
      <t>ウンヨウ</t>
    </rPh>
    <phoneticPr fontId="2"/>
  </si>
  <si>
    <t>稼働時間帯</t>
    <rPh sb="0" eb="5">
      <t>カドウジカンタイ</t>
    </rPh>
    <phoneticPr fontId="2"/>
  </si>
  <si>
    <t>執務室</t>
    <rPh sb="0" eb="3">
      <t>シツムシツ</t>
    </rPh>
    <phoneticPr fontId="2"/>
  </si>
  <si>
    <t>共用部</t>
    <rPh sb="0" eb="3">
      <t>キョウヨウブ</t>
    </rPh>
    <phoneticPr fontId="2"/>
  </si>
  <si>
    <t>電話交換室，健康管理室含む</t>
    <rPh sb="0" eb="5">
      <t>デンワコウカンシツ</t>
    </rPh>
    <rPh sb="6" eb="11">
      <t>ケンコウカンリシツ</t>
    </rPh>
    <rPh sb="11" eb="12">
      <t>フク</t>
    </rPh>
    <phoneticPr fontId="2"/>
  </si>
  <si>
    <t>便所</t>
    <rPh sb="0" eb="2">
      <t>ベンジョ</t>
    </rPh>
    <phoneticPr fontId="2"/>
  </si>
  <si>
    <t>多目的便所</t>
    <rPh sb="0" eb="5">
      <t>タモクテキベンジョ</t>
    </rPh>
    <phoneticPr fontId="2"/>
  </si>
  <si>
    <t>廊下・階段室・給湯室他</t>
    <rPh sb="0" eb="2">
      <t>ロウカ</t>
    </rPh>
    <rPh sb="3" eb="6">
      <t>カイダンシツ</t>
    </rPh>
    <rPh sb="7" eb="10">
      <t>キュウトウシツ</t>
    </rPh>
    <rPh sb="10" eb="11">
      <t>ホカ</t>
    </rPh>
    <phoneticPr fontId="2"/>
  </si>
  <si>
    <t>倉庫等</t>
    <rPh sb="0" eb="2">
      <t>ソウコ</t>
    </rPh>
    <rPh sb="2" eb="3">
      <t>トウ</t>
    </rPh>
    <phoneticPr fontId="2"/>
  </si>
  <si>
    <t>食堂</t>
    <rPh sb="0" eb="2">
      <t>ショクドウ</t>
    </rPh>
    <phoneticPr fontId="2"/>
  </si>
  <si>
    <t>守衛室（平日）</t>
    <rPh sb="0" eb="3">
      <t>シュエイシツ</t>
    </rPh>
    <rPh sb="4" eb="6">
      <t>ヘイジツ</t>
    </rPh>
    <phoneticPr fontId="2"/>
  </si>
  <si>
    <t>守衛室（休日）</t>
    <rPh sb="0" eb="3">
      <t>シュエイシツ</t>
    </rPh>
    <rPh sb="4" eb="6">
      <t>キュウジツ</t>
    </rPh>
    <phoneticPr fontId="2"/>
  </si>
  <si>
    <t>防災センター</t>
    <rPh sb="0" eb="2">
      <t>ボウサイ</t>
    </rPh>
    <phoneticPr fontId="2"/>
  </si>
  <si>
    <t>機械室（６階）</t>
    <rPh sb="0" eb="3">
      <t>キカイシツ</t>
    </rPh>
    <rPh sb="5" eb="6">
      <t>カイ</t>
    </rPh>
    <phoneticPr fontId="2"/>
  </si>
  <si>
    <t>機械室（その他）</t>
    <rPh sb="0" eb="3">
      <t>キカイシツ</t>
    </rPh>
    <rPh sb="6" eb="7">
      <t>タ</t>
    </rPh>
    <phoneticPr fontId="2"/>
  </si>
  <si>
    <t>00：00～24：00</t>
    <phoneticPr fontId="2"/>
  </si>
  <si>
    <t>17：30～20：00</t>
    <phoneticPr fontId="2"/>
  </si>
  <si>
    <t>外灯（夜間通用口）</t>
    <rPh sb="0" eb="2">
      <t>ガイトウ</t>
    </rPh>
    <rPh sb="3" eb="8">
      <t>ヤカンツウヨウグチ</t>
    </rPh>
    <phoneticPr fontId="2"/>
  </si>
  <si>
    <t>外灯（喫煙所）</t>
    <rPh sb="0" eb="2">
      <t>ガイトウ</t>
    </rPh>
    <rPh sb="3" eb="6">
      <t>キツエンジョ</t>
    </rPh>
    <phoneticPr fontId="2"/>
  </si>
  <si>
    <t>外灯（来庁者駐車場その１）</t>
    <rPh sb="0" eb="2">
      <t>ガイトウ</t>
    </rPh>
    <rPh sb="3" eb="6">
      <t>ライチョウシャ</t>
    </rPh>
    <rPh sb="6" eb="9">
      <t>チュウシャジョウ</t>
    </rPh>
    <phoneticPr fontId="2"/>
  </si>
  <si>
    <t>外灯（来庁者駐車場その２）</t>
    <rPh sb="0" eb="2">
      <t>ガイトウ</t>
    </rPh>
    <rPh sb="3" eb="6">
      <t>ライチョウシャ</t>
    </rPh>
    <rPh sb="6" eb="9">
      <t>チュウシャジョウ</t>
    </rPh>
    <phoneticPr fontId="2"/>
  </si>
  <si>
    <t>17：30～22：00</t>
    <phoneticPr fontId="2"/>
  </si>
  <si>
    <t>入口付近</t>
    <rPh sb="0" eb="4">
      <t>イリグチフキン</t>
    </rPh>
    <phoneticPr fontId="2"/>
  </si>
  <si>
    <t>照明器具</t>
    <rPh sb="0" eb="4">
      <t>ショウメイキグ</t>
    </rPh>
    <phoneticPr fontId="2"/>
  </si>
  <si>
    <t>照明器具仕様</t>
    <rPh sb="0" eb="6">
      <t>ショウメイキグシヨウ</t>
    </rPh>
    <phoneticPr fontId="2"/>
  </si>
  <si>
    <t>消費電力　W/台</t>
    <rPh sb="0" eb="4">
      <t>ショウヒデンリョク</t>
    </rPh>
    <rPh sb="7" eb="8">
      <t>ダイ</t>
    </rPh>
    <phoneticPr fontId="2"/>
  </si>
  <si>
    <t>非常用照明</t>
    <rPh sb="0" eb="5">
      <t>ヒジョウヨウショウメイ</t>
    </rPh>
    <phoneticPr fontId="2"/>
  </si>
  <si>
    <t>O-1</t>
    <phoneticPr fontId="2"/>
  </si>
  <si>
    <t>O-2</t>
    <phoneticPr fontId="2"/>
  </si>
  <si>
    <t>O-3</t>
  </si>
  <si>
    <t>O-4</t>
  </si>
  <si>
    <t>O-5</t>
  </si>
  <si>
    <t>B-1</t>
    <phoneticPr fontId="2"/>
  </si>
  <si>
    <t>B-2</t>
    <phoneticPr fontId="2"/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</si>
  <si>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</si>
  <si>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</si>
  <si>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</si>
  <si>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</si>
  <si>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</si>
  <si>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</si>
  <si>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</si>
  <si>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</si>
  <si>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</si>
  <si>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</si>
  <si>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</si>
  <si>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</si>
  <si>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</si>
  <si>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</si>
  <si>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</si>
  <si>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</si>
  <si>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</si>
  <si>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</si>
  <si>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</si>
  <si>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</si>
  <si>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</si>
  <si>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</si>
  <si>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</si>
  <si>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</si>
  <si>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</si>
  <si>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</si>
  <si>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</si>
  <si>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</si>
  <si>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</si>
  <si>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</si>
  <si>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</si>
  <si>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</si>
  <si>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</si>
  <si>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</si>
  <si>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</si>
  <si>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</si>
  <si>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</si>
  <si>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</si>
  <si>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</si>
  <si>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</si>
  <si>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</si>
  <si>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</si>
  <si>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</si>
  <si>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</si>
  <si>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</si>
  <si>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</si>
  <si>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</si>
  <si>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</si>
  <si>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</si>
  <si>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</si>
  <si>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</si>
  <si>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</si>
  <si>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</si>
  <si>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</si>
  <si>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</si>
  <si>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</si>
  <si>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</si>
  <si>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</si>
  <si>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</si>
  <si>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</si>
  <si>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</si>
  <si>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</si>
  <si>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</si>
  <si>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</si>
  <si>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</si>
  <si>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</si>
  <si>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</si>
  <si>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</si>
  <si>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</si>
  <si>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</si>
  <si>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</si>
  <si>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</si>
  <si>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</si>
  <si>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</si>
  <si>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</si>
  <si>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</si>
  <si>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</si>
  <si>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</si>
  <si>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</si>
  <si>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</si>
  <si>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</si>
  <si>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</si>
  <si>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</si>
  <si>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</si>
  <si>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</si>
  <si>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</si>
  <si>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</si>
  <si>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</si>
  <si>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</si>
  <si>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</si>
  <si>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</si>
  <si>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</si>
  <si>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</si>
  <si>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</si>
  <si>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</si>
  <si>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</si>
  <si>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</si>
  <si>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</si>
  <si>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</si>
  <si>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</si>
  <si>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</si>
  <si>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</si>
  <si>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</si>
  <si>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</si>
  <si>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</si>
  <si>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</si>
  <si>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</si>
  <si>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</si>
  <si>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</si>
  <si>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</si>
  <si>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</si>
  <si>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</si>
  <si>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</si>
  <si>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</si>
  <si>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</si>
  <si>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</si>
  <si>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</si>
  <si>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</si>
  <si>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</si>
  <si>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</si>
  <si>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</si>
  <si>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</si>
  <si>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</si>
  <si>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</si>
  <si>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</si>
  <si>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</si>
  <si>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</si>
  <si>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</si>
  <si>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</si>
  <si>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</si>
  <si>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</si>
  <si>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1F-1</t>
    <phoneticPr fontId="2"/>
  </si>
  <si>
    <t>1F-2</t>
    <phoneticPr fontId="2"/>
  </si>
  <si>
    <t>1F-3</t>
  </si>
  <si>
    <t>1F-4</t>
  </si>
  <si>
    <t>1F-5</t>
  </si>
  <si>
    <t>1F-6</t>
  </si>
  <si>
    <t>1F-7</t>
  </si>
  <si>
    <t>1F-8</t>
  </si>
  <si>
    <t>1F-9</t>
  </si>
  <si>
    <t>1F-10</t>
  </si>
  <si>
    <t>1F-11</t>
  </si>
  <si>
    <t>1F-12</t>
  </si>
  <si>
    <t>1F-13</t>
  </si>
  <si>
    <t>1F-14</t>
  </si>
  <si>
    <t>1F-15</t>
  </si>
  <si>
    <t>1F-16</t>
  </si>
  <si>
    <t>1F-17</t>
  </si>
  <si>
    <t>1F-18</t>
  </si>
  <si>
    <t>1F-19</t>
  </si>
  <si>
    <t>1F-20</t>
  </si>
  <si>
    <t>1F-21</t>
  </si>
  <si>
    <t>1F-22</t>
  </si>
  <si>
    <t>1F-23</t>
  </si>
  <si>
    <t>1F-24</t>
  </si>
  <si>
    <t>1F-25</t>
  </si>
  <si>
    <t>1F-26</t>
  </si>
  <si>
    <t>1F-27</t>
  </si>
  <si>
    <t>1F-28</t>
  </si>
  <si>
    <t>1F-29</t>
  </si>
  <si>
    <t>1F-30</t>
  </si>
  <si>
    <t>1F-31</t>
  </si>
  <si>
    <t>1F-32</t>
  </si>
  <si>
    <t>1F-33</t>
  </si>
  <si>
    <t>1F-34</t>
  </si>
  <si>
    <t>1F-35</t>
  </si>
  <si>
    <t>1F-36</t>
  </si>
  <si>
    <t>1F-37</t>
  </si>
  <si>
    <t>1F-38</t>
  </si>
  <si>
    <t>1F-39</t>
  </si>
  <si>
    <t>1F-40</t>
  </si>
  <si>
    <t>1F-41</t>
  </si>
  <si>
    <t>1F-42</t>
  </si>
  <si>
    <t>1F-43</t>
  </si>
  <si>
    <t>1F-44</t>
  </si>
  <si>
    <t>1F-45</t>
  </si>
  <si>
    <t>1F-46</t>
  </si>
  <si>
    <t>1F-47</t>
  </si>
  <si>
    <t>1F-48</t>
  </si>
  <si>
    <t>1F-49</t>
  </si>
  <si>
    <t>1F-50</t>
  </si>
  <si>
    <t>1F-51</t>
  </si>
  <si>
    <t>1F-52</t>
  </si>
  <si>
    <t>1F-53</t>
  </si>
  <si>
    <t>1F-54</t>
  </si>
  <si>
    <t>1F-55</t>
  </si>
  <si>
    <t>1F-56</t>
  </si>
  <si>
    <t>1F-57</t>
  </si>
  <si>
    <t>1F-58</t>
  </si>
  <si>
    <t>1F-59</t>
  </si>
  <si>
    <t>1F-60</t>
  </si>
  <si>
    <t>1F-61</t>
  </si>
  <si>
    <t>1F-62</t>
  </si>
  <si>
    <t>1F-63</t>
  </si>
  <si>
    <t>1F-64</t>
  </si>
  <si>
    <t>1F-65</t>
  </si>
  <si>
    <t>1F-66</t>
  </si>
  <si>
    <t>1F-67</t>
  </si>
  <si>
    <t>1F-68</t>
  </si>
  <si>
    <t>1F-69</t>
  </si>
  <si>
    <t>1F-70</t>
  </si>
  <si>
    <t>1F-71</t>
  </si>
  <si>
    <t>1F-72</t>
  </si>
  <si>
    <t>1F-73</t>
  </si>
  <si>
    <t>1F-74</t>
  </si>
  <si>
    <t>1F-75</t>
  </si>
  <si>
    <t>1F-76</t>
  </si>
  <si>
    <t>1F-77</t>
  </si>
  <si>
    <t>1F-78</t>
  </si>
  <si>
    <t>1F-79</t>
  </si>
  <si>
    <t>1F-80</t>
  </si>
  <si>
    <t>1F-81</t>
  </si>
  <si>
    <t>1F-82</t>
  </si>
  <si>
    <t>1F-83</t>
  </si>
  <si>
    <t>1F-84</t>
  </si>
  <si>
    <t>1F-85</t>
  </si>
  <si>
    <t>1F-86</t>
  </si>
  <si>
    <t>1F-87</t>
  </si>
  <si>
    <t>1F-88</t>
  </si>
  <si>
    <t>1F-89</t>
  </si>
  <si>
    <t>1F-90</t>
  </si>
  <si>
    <t>1F-91</t>
  </si>
  <si>
    <t>1F-92</t>
  </si>
  <si>
    <t>1F-93</t>
  </si>
  <si>
    <t>1F-94</t>
  </si>
  <si>
    <t>1F-95</t>
  </si>
  <si>
    <t>1F-96</t>
  </si>
  <si>
    <t>1F-97</t>
  </si>
  <si>
    <t>1F-98</t>
  </si>
  <si>
    <t>1F-99</t>
  </si>
  <si>
    <t>1F-100</t>
  </si>
  <si>
    <t>1F-101</t>
  </si>
  <si>
    <t>1F-102</t>
  </si>
  <si>
    <t>1F-103</t>
  </si>
  <si>
    <t>1F-104</t>
  </si>
  <si>
    <t>1F-105</t>
  </si>
  <si>
    <t>1F-106</t>
  </si>
  <si>
    <t>1F-107</t>
  </si>
  <si>
    <t>2F-1</t>
    <phoneticPr fontId="2"/>
  </si>
  <si>
    <t>2F-2</t>
    <phoneticPr fontId="2"/>
  </si>
  <si>
    <t>2F-3</t>
  </si>
  <si>
    <t>2F-4</t>
  </si>
  <si>
    <t>2F-5</t>
  </si>
  <si>
    <t>2F-6</t>
  </si>
  <si>
    <t>2F-7</t>
  </si>
  <si>
    <t>2F-8</t>
  </si>
  <si>
    <t>2F-9</t>
  </si>
  <si>
    <t>2F-10</t>
  </si>
  <si>
    <t>2F-11</t>
  </si>
  <si>
    <t>2F-12</t>
  </si>
  <si>
    <t>2F-13</t>
  </si>
  <si>
    <t>2F-14</t>
  </si>
  <si>
    <t>2F-15</t>
  </si>
  <si>
    <t>2F-16</t>
  </si>
  <si>
    <t>2F-17</t>
  </si>
  <si>
    <t>2F-18</t>
  </si>
  <si>
    <t>2F-19</t>
  </si>
  <si>
    <t>2F-20</t>
  </si>
  <si>
    <t>2F-21</t>
  </si>
  <si>
    <t>2F-22</t>
  </si>
  <si>
    <t>2F-23</t>
  </si>
  <si>
    <t>2F-24</t>
  </si>
  <si>
    <t>2F-25</t>
  </si>
  <si>
    <t>2F-26</t>
  </si>
  <si>
    <t>2F-27</t>
  </si>
  <si>
    <t>2F-28</t>
  </si>
  <si>
    <t>2F-29</t>
  </si>
  <si>
    <t>2F-30</t>
  </si>
  <si>
    <t>2F-31</t>
  </si>
  <si>
    <t>2F-32</t>
  </si>
  <si>
    <t>2F-33</t>
  </si>
  <si>
    <t>2F-34</t>
  </si>
  <si>
    <t>2F-35</t>
  </si>
  <si>
    <t>2F-36</t>
  </si>
  <si>
    <t>2F-37</t>
  </si>
  <si>
    <t>2F-38</t>
  </si>
  <si>
    <t>2F-39</t>
  </si>
  <si>
    <t>2F-40</t>
  </si>
  <si>
    <t>2F-41</t>
  </si>
  <si>
    <t>2F-42</t>
  </si>
  <si>
    <t>2F-43</t>
  </si>
  <si>
    <t>2F-44</t>
  </si>
  <si>
    <t>2F-45</t>
  </si>
  <si>
    <t>2F-46</t>
  </si>
  <si>
    <t>2F-47</t>
  </si>
  <si>
    <t>2F-48</t>
  </si>
  <si>
    <t>2F-49</t>
  </si>
  <si>
    <t>2F-50</t>
  </si>
  <si>
    <t>2F-51</t>
  </si>
  <si>
    <t>2F-52</t>
  </si>
  <si>
    <t>2F-53</t>
  </si>
  <si>
    <t>2F-54</t>
  </si>
  <si>
    <t>2F-55</t>
  </si>
  <si>
    <t>2F-56</t>
  </si>
  <si>
    <t>2F-57</t>
  </si>
  <si>
    <t>2F-58</t>
  </si>
  <si>
    <t>2F-59</t>
  </si>
  <si>
    <t>2F-60</t>
  </si>
  <si>
    <t>2F-61</t>
  </si>
  <si>
    <t>2F-62</t>
  </si>
  <si>
    <t>2F-63</t>
  </si>
  <si>
    <t>2F-64</t>
  </si>
  <si>
    <t>2F-65</t>
  </si>
  <si>
    <t>2F-66</t>
  </si>
  <si>
    <t>2F-67</t>
  </si>
  <si>
    <t>2F-68</t>
  </si>
  <si>
    <t>3F-1</t>
    <phoneticPr fontId="2"/>
  </si>
  <si>
    <t>3F-2</t>
    <phoneticPr fontId="2"/>
  </si>
  <si>
    <t>3F-3</t>
  </si>
  <si>
    <t>3F-4</t>
  </si>
  <si>
    <t>3F-5</t>
  </si>
  <si>
    <t>3F-6</t>
  </si>
  <si>
    <t>3F-7</t>
  </si>
  <si>
    <t>3F-8</t>
  </si>
  <si>
    <t>3F-9</t>
  </si>
  <si>
    <t>3F-10</t>
  </si>
  <si>
    <t>3F-11</t>
  </si>
  <si>
    <t>3F-12</t>
  </si>
  <si>
    <t>3F-13</t>
  </si>
  <si>
    <t>3F-14</t>
  </si>
  <si>
    <t>3F-15</t>
  </si>
  <si>
    <t>3F-16</t>
  </si>
  <si>
    <t>3F-17</t>
  </si>
  <si>
    <t>3F-18</t>
  </si>
  <si>
    <t>3F-19</t>
  </si>
  <si>
    <t>3F-20</t>
  </si>
  <si>
    <t>3F-21</t>
  </si>
  <si>
    <t>3F-22</t>
  </si>
  <si>
    <t>3F-23</t>
  </si>
  <si>
    <t>3F-24</t>
  </si>
  <si>
    <t>3F-25</t>
  </si>
  <si>
    <t>3F-26</t>
  </si>
  <si>
    <t>3F-27</t>
  </si>
  <si>
    <t>3F-28</t>
  </si>
  <si>
    <t>3F-29</t>
  </si>
  <si>
    <t>3F-30</t>
  </si>
  <si>
    <t>3F-31</t>
  </si>
  <si>
    <t>3F-32</t>
  </si>
  <si>
    <t>3F-33</t>
  </si>
  <si>
    <t>3F-34</t>
  </si>
  <si>
    <t>3F-35</t>
  </si>
  <si>
    <t>3F-36</t>
  </si>
  <si>
    <t>3F-37</t>
  </si>
  <si>
    <t>3F-38</t>
  </si>
  <si>
    <t>3F-39</t>
  </si>
  <si>
    <t>3F-40</t>
  </si>
  <si>
    <t>3F-41</t>
  </si>
  <si>
    <t>3F-42</t>
  </si>
  <si>
    <t>3F-43</t>
  </si>
  <si>
    <t>3F-44</t>
  </si>
  <si>
    <t>3F-45</t>
  </si>
  <si>
    <t>3F-46</t>
  </si>
  <si>
    <t>3F-47</t>
  </si>
  <si>
    <t>3F-48</t>
  </si>
  <si>
    <t>3F-49</t>
  </si>
  <si>
    <t>3F-50</t>
  </si>
  <si>
    <t>3F-51</t>
  </si>
  <si>
    <t>3F-52</t>
  </si>
  <si>
    <t>3F-53</t>
  </si>
  <si>
    <t>3F-54</t>
  </si>
  <si>
    <t>3F-55</t>
  </si>
  <si>
    <t>3F-56</t>
  </si>
  <si>
    <t>3F-57</t>
  </si>
  <si>
    <t>3F-58</t>
  </si>
  <si>
    <t>3F-59</t>
  </si>
  <si>
    <t>3F-60</t>
  </si>
  <si>
    <t>3F-61</t>
  </si>
  <si>
    <t>3F-62</t>
  </si>
  <si>
    <t>3F-63</t>
  </si>
  <si>
    <t>3F-64</t>
  </si>
  <si>
    <t>3F-65</t>
  </si>
  <si>
    <t>3F-66</t>
  </si>
  <si>
    <t>3F-67</t>
  </si>
  <si>
    <t>3F-68</t>
  </si>
  <si>
    <t>3F-69</t>
  </si>
  <si>
    <t>4F-1</t>
    <phoneticPr fontId="2"/>
  </si>
  <si>
    <t>4F-2</t>
    <phoneticPr fontId="2"/>
  </si>
  <si>
    <t>4F-3</t>
  </si>
  <si>
    <t>4F-4</t>
  </si>
  <si>
    <t>4F-5</t>
  </si>
  <si>
    <t>4F-6</t>
  </si>
  <si>
    <t>4F-7</t>
  </si>
  <si>
    <t>4F-8</t>
  </si>
  <si>
    <t>4F-9</t>
  </si>
  <si>
    <t>4F-10</t>
  </si>
  <si>
    <t>4F-11</t>
  </si>
  <si>
    <t>4F-12</t>
  </si>
  <si>
    <t>4F-13</t>
  </si>
  <si>
    <t>4F-14</t>
  </si>
  <si>
    <t>4F-15</t>
  </si>
  <si>
    <t>4F-16</t>
  </si>
  <si>
    <t>4F-17</t>
  </si>
  <si>
    <t>4F-18</t>
  </si>
  <si>
    <t>4F-19</t>
  </si>
  <si>
    <t>4F-20</t>
  </si>
  <si>
    <t>4F-21</t>
  </si>
  <si>
    <t>4F-22</t>
  </si>
  <si>
    <t>4F-23</t>
  </si>
  <si>
    <t>4F-24</t>
  </si>
  <si>
    <t>4F-25</t>
  </si>
  <si>
    <t>4F-26</t>
  </si>
  <si>
    <t>4F-27</t>
  </si>
  <si>
    <t>4F-28</t>
  </si>
  <si>
    <t>4F-29</t>
  </si>
  <si>
    <t>4F-30</t>
  </si>
  <si>
    <t>4F-31</t>
  </si>
  <si>
    <t>4F-32</t>
  </si>
  <si>
    <t>4F-33</t>
  </si>
  <si>
    <t>4F-34</t>
  </si>
  <si>
    <t>4F-35</t>
  </si>
  <si>
    <t>4F-36</t>
  </si>
  <si>
    <t>4F-37</t>
  </si>
  <si>
    <t>4F-38</t>
  </si>
  <si>
    <t>4F-39</t>
  </si>
  <si>
    <t>4F-40</t>
  </si>
  <si>
    <t>4F-41</t>
  </si>
  <si>
    <t>4F-42</t>
  </si>
  <si>
    <t>4F-43</t>
  </si>
  <si>
    <t>4F-44</t>
  </si>
  <si>
    <t>4F-45</t>
  </si>
  <si>
    <t>4F-46</t>
  </si>
  <si>
    <t>4F-47</t>
  </si>
  <si>
    <t>4F-48</t>
  </si>
  <si>
    <t>4F-49</t>
  </si>
  <si>
    <t>4F-50</t>
  </si>
  <si>
    <t>4F-51</t>
  </si>
  <si>
    <t>4F-52</t>
  </si>
  <si>
    <t>4F-53</t>
  </si>
  <si>
    <t>4F-54</t>
  </si>
  <si>
    <t>4F-55</t>
  </si>
  <si>
    <t>4F-56</t>
  </si>
  <si>
    <t>4F-57</t>
  </si>
  <si>
    <t>4F-58</t>
  </si>
  <si>
    <t>4F-59</t>
  </si>
  <si>
    <t>4F-60</t>
  </si>
  <si>
    <t>4F-61</t>
  </si>
  <si>
    <t>4F-62</t>
  </si>
  <si>
    <t>4F-63</t>
  </si>
  <si>
    <t>4F-64</t>
  </si>
  <si>
    <t>4F-65</t>
  </si>
  <si>
    <t>4F-66</t>
  </si>
  <si>
    <t>5F-1</t>
    <phoneticPr fontId="2"/>
  </si>
  <si>
    <t>5F-2</t>
    <phoneticPr fontId="2"/>
  </si>
  <si>
    <t>5F-3</t>
  </si>
  <si>
    <t>5F-4</t>
  </si>
  <si>
    <t>5F-5</t>
  </si>
  <si>
    <t>5F-6</t>
  </si>
  <si>
    <t>5F-7</t>
  </si>
  <si>
    <t>5F-8</t>
  </si>
  <si>
    <t>5F-9</t>
  </si>
  <si>
    <t>5F-10</t>
  </si>
  <si>
    <t>5F-11</t>
  </si>
  <si>
    <t>5F-12</t>
  </si>
  <si>
    <t>5F-13</t>
  </si>
  <si>
    <t>5F-14</t>
  </si>
  <si>
    <t>5F-15</t>
  </si>
  <si>
    <t>5F-16</t>
  </si>
  <si>
    <t>5F-17</t>
  </si>
  <si>
    <t>5F-18</t>
  </si>
  <si>
    <t>5F-19</t>
  </si>
  <si>
    <t>5F-20</t>
  </si>
  <si>
    <t>5F-21</t>
  </si>
  <si>
    <t>5F-22</t>
  </si>
  <si>
    <t>5F-23</t>
  </si>
  <si>
    <t>5F-24</t>
  </si>
  <si>
    <t>5F-25</t>
  </si>
  <si>
    <t>5F-26</t>
  </si>
  <si>
    <t>5F-27</t>
  </si>
  <si>
    <t>5F-28</t>
  </si>
  <si>
    <t>5F-29</t>
  </si>
  <si>
    <t>5F-30</t>
  </si>
  <si>
    <t>5F-31</t>
  </si>
  <si>
    <t>5F-32</t>
  </si>
  <si>
    <t>5F-33</t>
  </si>
  <si>
    <t>5F-34</t>
  </si>
  <si>
    <t>5F-35</t>
  </si>
  <si>
    <t>5F-36</t>
  </si>
  <si>
    <t>5F-37</t>
  </si>
  <si>
    <t>5F-38</t>
  </si>
  <si>
    <t>5F-39</t>
  </si>
  <si>
    <t>5F-40</t>
  </si>
  <si>
    <t>5F-41</t>
  </si>
  <si>
    <t>5F-42</t>
  </si>
  <si>
    <t>5F-43</t>
  </si>
  <si>
    <t>5F-44</t>
  </si>
  <si>
    <t>5F-45</t>
  </si>
  <si>
    <t>5F-46</t>
  </si>
  <si>
    <t>5F-47</t>
  </si>
  <si>
    <t>5F-48</t>
  </si>
  <si>
    <t>5F-49</t>
  </si>
  <si>
    <t>5F-50</t>
  </si>
  <si>
    <t>5F-51</t>
  </si>
  <si>
    <t>5F-52</t>
  </si>
  <si>
    <t>5F-53</t>
  </si>
  <si>
    <t>5F-54</t>
  </si>
  <si>
    <t>5F-55</t>
  </si>
  <si>
    <t>5F-56</t>
  </si>
  <si>
    <t>5F-57</t>
  </si>
  <si>
    <t>5F-58</t>
  </si>
  <si>
    <t>5F-59</t>
  </si>
  <si>
    <t>5F-60</t>
  </si>
  <si>
    <t>5F-61</t>
  </si>
  <si>
    <t>5F-62</t>
  </si>
  <si>
    <t>5F-63</t>
  </si>
  <si>
    <t>5F-64</t>
  </si>
  <si>
    <t>5F-65</t>
  </si>
  <si>
    <t>5F-66</t>
  </si>
  <si>
    <t>5F-67</t>
  </si>
  <si>
    <t>5F-68</t>
  </si>
  <si>
    <t>5F-69</t>
  </si>
  <si>
    <t>6F-1</t>
    <phoneticPr fontId="2"/>
  </si>
  <si>
    <t>6F-2</t>
    <phoneticPr fontId="2"/>
  </si>
  <si>
    <t>6F-3</t>
  </si>
  <si>
    <t>6F-4</t>
  </si>
  <si>
    <t>6F-5</t>
  </si>
  <si>
    <t>6F-6</t>
  </si>
  <si>
    <t>6F-7</t>
  </si>
  <si>
    <t>6F-8</t>
  </si>
  <si>
    <t>6F-9</t>
  </si>
  <si>
    <t>6F-10</t>
  </si>
  <si>
    <t>6F-11</t>
  </si>
  <si>
    <t>6F-12</t>
  </si>
  <si>
    <t>6F-13</t>
  </si>
  <si>
    <t>6F-14</t>
  </si>
  <si>
    <t>6F-15</t>
  </si>
  <si>
    <t>6F-16</t>
  </si>
  <si>
    <t>6F-17</t>
  </si>
  <si>
    <t>6F-18</t>
  </si>
  <si>
    <t>6F-19</t>
  </si>
  <si>
    <t>6F-20</t>
  </si>
  <si>
    <t>6F-21</t>
  </si>
  <si>
    <t>6F-22</t>
  </si>
  <si>
    <t>6F-23</t>
  </si>
  <si>
    <t>6F-24</t>
  </si>
  <si>
    <t>6F-25</t>
  </si>
  <si>
    <t>6F-26</t>
  </si>
  <si>
    <t>6F-27</t>
  </si>
  <si>
    <t>6F-28</t>
  </si>
  <si>
    <t>6F-29</t>
  </si>
  <si>
    <t>6F-30</t>
  </si>
  <si>
    <t>6F-31</t>
  </si>
  <si>
    <t>6F-32</t>
  </si>
  <si>
    <t>6F-33</t>
  </si>
  <si>
    <t>6F-34</t>
  </si>
  <si>
    <t>6F-35</t>
  </si>
  <si>
    <t>6F-36</t>
  </si>
  <si>
    <t>6F-37</t>
  </si>
  <si>
    <t>6F-38</t>
  </si>
  <si>
    <t>6F-39</t>
  </si>
  <si>
    <t>6F-40</t>
  </si>
  <si>
    <t>6F-41</t>
  </si>
  <si>
    <t>6F-42</t>
  </si>
  <si>
    <t>6F-43</t>
  </si>
  <si>
    <t>6F-44</t>
  </si>
  <si>
    <t>6F-45</t>
  </si>
  <si>
    <t>6F-46</t>
  </si>
  <si>
    <t>6F-47</t>
  </si>
  <si>
    <t>6F-48</t>
  </si>
  <si>
    <t>6F-49</t>
  </si>
  <si>
    <t>6F-50</t>
  </si>
  <si>
    <t>6F-51</t>
  </si>
  <si>
    <t>6F-52</t>
  </si>
  <si>
    <t>6F-53</t>
  </si>
  <si>
    <t>6F-54</t>
  </si>
  <si>
    <t>6F-55</t>
  </si>
  <si>
    <t>6F-56</t>
  </si>
  <si>
    <t>6F-57</t>
  </si>
  <si>
    <t>6F-58</t>
  </si>
  <si>
    <t>6F-59</t>
  </si>
  <si>
    <t>6F-60</t>
  </si>
  <si>
    <t>6F-61</t>
  </si>
  <si>
    <t>6F-62</t>
  </si>
  <si>
    <t>6F-63</t>
  </si>
  <si>
    <t>6F-64</t>
  </si>
  <si>
    <t>6F-65</t>
  </si>
  <si>
    <t>6F-66</t>
  </si>
  <si>
    <t>6F-67</t>
  </si>
  <si>
    <t>6F-68</t>
  </si>
  <si>
    <t>6F-69</t>
  </si>
  <si>
    <t>6F-70</t>
  </si>
  <si>
    <t>6F-71</t>
  </si>
  <si>
    <t>6F-72</t>
  </si>
  <si>
    <t>6F-73</t>
  </si>
  <si>
    <t>6F-74</t>
  </si>
  <si>
    <t>6F-75</t>
  </si>
  <si>
    <t>6F-76</t>
  </si>
  <si>
    <t>6F-77</t>
  </si>
  <si>
    <t>6F-78</t>
  </si>
  <si>
    <t>6F-79</t>
  </si>
  <si>
    <t>6F-80</t>
  </si>
  <si>
    <t>6F-81</t>
  </si>
  <si>
    <t>6F-82</t>
  </si>
  <si>
    <t>6F-83</t>
  </si>
  <si>
    <t>6F-84</t>
  </si>
  <si>
    <t>6F-85</t>
  </si>
  <si>
    <t>6F-86</t>
  </si>
  <si>
    <t>6F-87</t>
  </si>
  <si>
    <t>6F-88</t>
  </si>
  <si>
    <t>6F-89</t>
  </si>
  <si>
    <t>6F-90</t>
  </si>
  <si>
    <t>6F-91</t>
  </si>
  <si>
    <t>6F-92</t>
  </si>
  <si>
    <t>6F-93</t>
  </si>
  <si>
    <t>6F-94</t>
  </si>
  <si>
    <t>6F-95</t>
  </si>
  <si>
    <t>6F-96</t>
  </si>
  <si>
    <t>6F-97</t>
  </si>
  <si>
    <t>6F-98</t>
  </si>
  <si>
    <t>6F-99</t>
  </si>
  <si>
    <t>6F-100</t>
  </si>
  <si>
    <t>6F-101</t>
  </si>
  <si>
    <t>6F-102</t>
  </si>
  <si>
    <t>6F-103</t>
  </si>
  <si>
    <t>6F-104</t>
  </si>
  <si>
    <t>6F-105</t>
  </si>
  <si>
    <t>6F-106</t>
  </si>
  <si>
    <t>6F-107</t>
  </si>
  <si>
    <t>6F-108</t>
  </si>
  <si>
    <t>6F-109</t>
  </si>
  <si>
    <t>6F-110</t>
  </si>
  <si>
    <t>6F-111</t>
  </si>
  <si>
    <t>6F-112</t>
  </si>
  <si>
    <t>6F-113</t>
  </si>
  <si>
    <t>7F-1</t>
    <phoneticPr fontId="2"/>
  </si>
  <si>
    <t>7F-2</t>
    <phoneticPr fontId="2"/>
  </si>
  <si>
    <t>7F-3</t>
  </si>
  <si>
    <t>7F-4</t>
  </si>
  <si>
    <t>7F-5</t>
  </si>
  <si>
    <t>7F-6</t>
  </si>
  <si>
    <t>7F-7</t>
  </si>
  <si>
    <t>7F-8</t>
  </si>
  <si>
    <t>7F-9</t>
  </si>
  <si>
    <t>7F-10</t>
  </si>
  <si>
    <t>7F-11</t>
  </si>
  <si>
    <t>7F-12</t>
  </si>
  <si>
    <t>7F-13</t>
  </si>
  <si>
    <t>7F-14</t>
  </si>
  <si>
    <t>7F-15</t>
  </si>
  <si>
    <t>7F-16</t>
  </si>
  <si>
    <t>7F-17</t>
  </si>
  <si>
    <t>7F-18</t>
  </si>
  <si>
    <t>7F-19</t>
  </si>
  <si>
    <t>7F-20</t>
  </si>
  <si>
    <t>7F-21</t>
  </si>
  <si>
    <t>7F-22</t>
  </si>
  <si>
    <t>7F-23</t>
  </si>
  <si>
    <t>7F-24</t>
  </si>
  <si>
    <t>7F-25</t>
  </si>
  <si>
    <t>7F-26</t>
  </si>
  <si>
    <t>7F-27</t>
  </si>
  <si>
    <t>7F-28</t>
  </si>
  <si>
    <t>7F-29</t>
  </si>
  <si>
    <t>7F-30</t>
  </si>
  <si>
    <t>7F-31</t>
  </si>
  <si>
    <t>7F-32</t>
  </si>
  <si>
    <t>7F-33</t>
  </si>
  <si>
    <t>7F-34</t>
  </si>
  <si>
    <t>7F-35</t>
  </si>
  <si>
    <t>7F-36</t>
  </si>
  <si>
    <t>7F-37</t>
  </si>
  <si>
    <t>7F-38</t>
  </si>
  <si>
    <t>7F-39</t>
  </si>
  <si>
    <t>7F-40</t>
  </si>
  <si>
    <t>7F-41</t>
  </si>
  <si>
    <t>7F-42</t>
  </si>
  <si>
    <t>7F-43</t>
  </si>
  <si>
    <t>7F-44</t>
  </si>
  <si>
    <t>7F-45</t>
  </si>
  <si>
    <t>7F-46</t>
  </si>
  <si>
    <t>7F-47</t>
  </si>
  <si>
    <t>7F-48</t>
  </si>
  <si>
    <t>7F-49</t>
  </si>
  <si>
    <t>7F-50</t>
  </si>
  <si>
    <t>7F-51</t>
  </si>
  <si>
    <t>7F-52</t>
  </si>
  <si>
    <t>7F-53</t>
  </si>
  <si>
    <t>7F-54</t>
  </si>
  <si>
    <t>7F-55</t>
  </si>
  <si>
    <t>7F-56</t>
  </si>
  <si>
    <t>7F-57</t>
  </si>
  <si>
    <t>7F-58</t>
  </si>
  <si>
    <t>7F-59</t>
  </si>
  <si>
    <t>7F-60</t>
  </si>
  <si>
    <t>7F-61</t>
  </si>
  <si>
    <t>7F-62</t>
  </si>
  <si>
    <t>7F-63</t>
  </si>
  <si>
    <t>7F-64</t>
  </si>
  <si>
    <t>7F-65</t>
  </si>
  <si>
    <t>7F-66</t>
  </si>
  <si>
    <t>7F-67</t>
  </si>
  <si>
    <t>7F-68</t>
  </si>
  <si>
    <t>7F-69</t>
  </si>
  <si>
    <t>7F-70</t>
  </si>
  <si>
    <t>7F-71</t>
  </si>
  <si>
    <t>7F-72</t>
  </si>
  <si>
    <t>7F-73</t>
  </si>
  <si>
    <t>7F-74</t>
  </si>
  <si>
    <t>7F-75</t>
  </si>
  <si>
    <t>7F-76</t>
  </si>
  <si>
    <t>7F-77</t>
  </si>
  <si>
    <t>7F-78</t>
  </si>
  <si>
    <t>7F-79</t>
  </si>
  <si>
    <t>7F-80</t>
  </si>
  <si>
    <t>7F-81</t>
  </si>
  <si>
    <t>7F-82</t>
  </si>
  <si>
    <t>7F-83</t>
  </si>
  <si>
    <t>7F-84</t>
  </si>
  <si>
    <t>7F-85</t>
  </si>
  <si>
    <t>7F-86</t>
  </si>
  <si>
    <t>7F-87</t>
  </si>
  <si>
    <t>7F-88</t>
  </si>
  <si>
    <t>7F-89</t>
  </si>
  <si>
    <t>7F-90</t>
  </si>
  <si>
    <t>7F-91</t>
  </si>
  <si>
    <t>7F-92</t>
  </si>
  <si>
    <t>7F-93</t>
  </si>
  <si>
    <t>7F-94</t>
  </si>
  <si>
    <t>7F-95</t>
  </si>
  <si>
    <t>7F-96</t>
  </si>
  <si>
    <t>7F-97</t>
  </si>
  <si>
    <t>7F-98</t>
  </si>
  <si>
    <t>7F-99</t>
  </si>
  <si>
    <t>7F-100</t>
  </si>
  <si>
    <t>7F-101</t>
  </si>
  <si>
    <t>7F-102</t>
  </si>
  <si>
    <t>7F-103</t>
  </si>
  <si>
    <t>7F-104</t>
  </si>
  <si>
    <t>7F-105</t>
  </si>
  <si>
    <t>7F-106</t>
  </si>
  <si>
    <t>7F-107</t>
  </si>
  <si>
    <t>7F-108</t>
  </si>
  <si>
    <t>7F-109</t>
  </si>
  <si>
    <t>7F-110</t>
  </si>
  <si>
    <t>8F-1</t>
    <phoneticPr fontId="2"/>
  </si>
  <si>
    <t>8F-2</t>
    <phoneticPr fontId="2"/>
  </si>
  <si>
    <t>8F-3</t>
  </si>
  <si>
    <t>8F-4</t>
  </si>
  <si>
    <t>8F-5</t>
  </si>
  <si>
    <t>8F-6</t>
  </si>
  <si>
    <t>8F-7</t>
  </si>
  <si>
    <t>8F-8</t>
  </si>
  <si>
    <t>8F-9</t>
  </si>
  <si>
    <t>8F-10</t>
  </si>
  <si>
    <t>8F-11</t>
  </si>
  <si>
    <t>8F-12</t>
  </si>
  <si>
    <t>8F-13</t>
  </si>
  <si>
    <t>8F-14</t>
  </si>
  <si>
    <t>8F-15</t>
  </si>
  <si>
    <t>8F-16</t>
  </si>
  <si>
    <t>8F-17</t>
  </si>
  <si>
    <t>8F-18</t>
  </si>
  <si>
    <t>8F-19</t>
  </si>
  <si>
    <t>8F-20</t>
  </si>
  <si>
    <t>8F-21</t>
  </si>
  <si>
    <t>8F-22</t>
  </si>
  <si>
    <t>8F-23</t>
  </si>
  <si>
    <t>8F-24</t>
  </si>
  <si>
    <t>8F-25</t>
  </si>
  <si>
    <t>8F-26</t>
  </si>
  <si>
    <t>8F-27</t>
  </si>
  <si>
    <t>8F-28</t>
  </si>
  <si>
    <t>8F-29</t>
  </si>
  <si>
    <t>8F-30</t>
  </si>
  <si>
    <t>8F-31</t>
  </si>
  <si>
    <t>8F-32</t>
  </si>
  <si>
    <t>8F-33</t>
  </si>
  <si>
    <t>8F-34</t>
  </si>
  <si>
    <t>8F-35</t>
  </si>
  <si>
    <t>8F-36</t>
  </si>
  <si>
    <t>8F-37</t>
  </si>
  <si>
    <t>8F-38</t>
  </si>
  <si>
    <t>8F-39</t>
  </si>
  <si>
    <t>8F-40</t>
  </si>
  <si>
    <t>8F-41</t>
  </si>
  <si>
    <t>8F-42</t>
  </si>
  <si>
    <t>8F-43</t>
  </si>
  <si>
    <t>8F-44</t>
  </si>
  <si>
    <t>8F-45</t>
  </si>
  <si>
    <t>8F-46</t>
  </si>
  <si>
    <t>8F-47</t>
  </si>
  <si>
    <t>8F-48</t>
  </si>
  <si>
    <t>8F-49</t>
  </si>
  <si>
    <t>8F-50</t>
  </si>
  <si>
    <t>8F-51</t>
  </si>
  <si>
    <t>8F-52</t>
  </si>
  <si>
    <t>8F-53</t>
  </si>
  <si>
    <t>8F-54</t>
  </si>
  <si>
    <t>8F-55</t>
  </si>
  <si>
    <t>8F-56</t>
  </si>
  <si>
    <t>8F-57</t>
  </si>
  <si>
    <t>8F-58</t>
  </si>
  <si>
    <t>8F-59</t>
  </si>
  <si>
    <t>8F-60</t>
  </si>
  <si>
    <t>8F-61</t>
  </si>
  <si>
    <t>8F-62</t>
  </si>
  <si>
    <t>8F-63</t>
  </si>
  <si>
    <t>8F-64</t>
  </si>
  <si>
    <t>8F-65</t>
  </si>
  <si>
    <t>8F-66</t>
  </si>
  <si>
    <t>8F-67</t>
  </si>
  <si>
    <t>8F-68</t>
  </si>
  <si>
    <t>8F-69</t>
  </si>
  <si>
    <t>8F-70</t>
  </si>
  <si>
    <t>8F-71</t>
  </si>
  <si>
    <t>8F-72</t>
  </si>
  <si>
    <t>8F-73</t>
  </si>
  <si>
    <t>8F-74</t>
  </si>
  <si>
    <t>8F-75</t>
  </si>
  <si>
    <t>8F-76</t>
  </si>
  <si>
    <t>8F-77</t>
  </si>
  <si>
    <t>8F-78</t>
  </si>
  <si>
    <t>8F-79</t>
  </si>
  <si>
    <t>8F-80</t>
  </si>
  <si>
    <t>8F-81</t>
  </si>
  <si>
    <t>8F-82</t>
  </si>
  <si>
    <t>8F-83</t>
  </si>
  <si>
    <t>8F-84</t>
  </si>
  <si>
    <t>8F-85</t>
  </si>
  <si>
    <t>8F-86</t>
  </si>
  <si>
    <t>8F-87</t>
  </si>
  <si>
    <t>8F-88</t>
  </si>
  <si>
    <t>8F-89</t>
  </si>
  <si>
    <t>8F-90</t>
  </si>
  <si>
    <t>8F-91</t>
  </si>
  <si>
    <t>8F-92</t>
  </si>
  <si>
    <t>8F-93</t>
  </si>
  <si>
    <t>8F-94</t>
  </si>
  <si>
    <t>8F-95</t>
  </si>
  <si>
    <t>8F-96</t>
  </si>
  <si>
    <t>8F-97</t>
  </si>
  <si>
    <t>8F-98</t>
  </si>
  <si>
    <t>8F-99</t>
  </si>
  <si>
    <t>8F-100</t>
  </si>
  <si>
    <t>8F-101</t>
  </si>
  <si>
    <t>8F-102</t>
  </si>
  <si>
    <t>8F-103</t>
  </si>
  <si>
    <t>8F-104</t>
  </si>
  <si>
    <t>RF-1</t>
    <phoneticPr fontId="2"/>
  </si>
  <si>
    <t>RF-2</t>
    <phoneticPr fontId="2"/>
  </si>
  <si>
    <t>RF-3</t>
  </si>
  <si>
    <t>RF-4</t>
  </si>
  <si>
    <t>RF-5</t>
  </si>
  <si>
    <t>RF-6</t>
  </si>
  <si>
    <t>RF-7</t>
  </si>
  <si>
    <t>RF-8</t>
  </si>
  <si>
    <t>RF-9</t>
  </si>
  <si>
    <t>RF-10</t>
  </si>
  <si>
    <t>RF-11</t>
  </si>
  <si>
    <t>RF-12</t>
  </si>
  <si>
    <t>RF-13</t>
  </si>
  <si>
    <t>RF-14</t>
  </si>
  <si>
    <t>RF-15</t>
  </si>
  <si>
    <t>RF-16</t>
  </si>
  <si>
    <t>RF-17</t>
  </si>
  <si>
    <t>RF-18</t>
  </si>
  <si>
    <t>RF-19</t>
  </si>
  <si>
    <t>RF-20</t>
  </si>
  <si>
    <t>RF-21</t>
  </si>
  <si>
    <t>RF-22</t>
  </si>
  <si>
    <t>RF-23</t>
  </si>
  <si>
    <t>RF-24</t>
  </si>
  <si>
    <t>RF-25</t>
  </si>
  <si>
    <t>RF-26</t>
  </si>
  <si>
    <t>RF-27</t>
  </si>
  <si>
    <t>RF-28</t>
  </si>
  <si>
    <t>RF-29</t>
  </si>
  <si>
    <t>□</t>
  </si>
  <si>
    <t>■</t>
  </si>
  <si>
    <t>№</t>
    <phoneticPr fontId="2"/>
  </si>
  <si>
    <t>室種別名称</t>
    <rPh sb="0" eb="1">
      <t>シツ</t>
    </rPh>
    <rPh sb="1" eb="3">
      <t>シュベツ</t>
    </rPh>
    <rPh sb="3" eb="5">
      <t>メイショウ</t>
    </rPh>
    <phoneticPr fontId="2"/>
  </si>
  <si>
    <t>08：30～18：00</t>
    <phoneticPr fontId="2"/>
  </si>
  <si>
    <t>07：00～20：00</t>
    <phoneticPr fontId="2"/>
  </si>
  <si>
    <t>07：00～15：00</t>
    <phoneticPr fontId="2"/>
  </si>
  <si>
    <t>ライトアップ照明</t>
    <rPh sb="6" eb="8">
      <t>ショウメイ</t>
    </rPh>
    <phoneticPr fontId="2"/>
  </si>
  <si>
    <t>16：30～22：00</t>
    <phoneticPr fontId="2"/>
  </si>
  <si>
    <t>その他</t>
    <rPh sb="2" eb="3">
      <t>タ</t>
    </rPh>
    <phoneticPr fontId="2"/>
  </si>
  <si>
    <t>非常用エレベーターホール</t>
    <rPh sb="0" eb="3">
      <t>ヒジョウヨウ</t>
    </rPh>
    <phoneticPr fontId="2"/>
  </si>
  <si>
    <t>07：45～18：00</t>
    <phoneticPr fontId="2"/>
  </si>
  <si>
    <t>EPS，理容室</t>
    <rPh sb="4" eb="7">
      <t>リヨウシツ</t>
    </rPh>
    <phoneticPr fontId="2"/>
  </si>
  <si>
    <t>議会関係諸室</t>
    <rPh sb="0" eb="2">
      <t>ギカイ</t>
    </rPh>
    <rPh sb="2" eb="4">
      <t>カンケイ</t>
    </rPh>
    <rPh sb="4" eb="6">
      <t>ショシツ</t>
    </rPh>
    <phoneticPr fontId="2"/>
  </si>
  <si>
    <t>検索用</t>
    <rPh sb="0" eb="3">
      <t>ケンサクヨウ</t>
    </rPh>
    <phoneticPr fontId="2"/>
  </si>
  <si>
    <t>湯沸室</t>
    <rPh sb="0" eb="2">
      <t>ユワカシ</t>
    </rPh>
    <rPh sb="2" eb="3">
      <t>シツ</t>
    </rPh>
    <phoneticPr fontId="2"/>
  </si>
  <si>
    <t>稼働率</t>
    <rPh sb="0" eb="3">
      <t>カドウリツ</t>
    </rPh>
    <phoneticPr fontId="2"/>
  </si>
  <si>
    <t>便所（１Ｆ）</t>
    <rPh sb="0" eb="2">
      <t>ベンジョ</t>
    </rPh>
    <phoneticPr fontId="2"/>
  </si>
  <si>
    <t>年間
点灯時間</t>
    <rPh sb="0" eb="2">
      <t>ネンカン</t>
    </rPh>
    <rPh sb="3" eb="5">
      <t>テントウ</t>
    </rPh>
    <rPh sb="5" eb="7">
      <t>ジカン</t>
    </rPh>
    <phoneticPr fontId="2"/>
  </si>
  <si>
    <t>消費電力
(W/台)</t>
    <rPh sb="0" eb="4">
      <t>ショウヒデンリョク</t>
    </rPh>
    <rPh sb="8" eb="9">
      <t>ダイ</t>
    </rPh>
    <phoneticPr fontId="2"/>
  </si>
  <si>
    <t>更新
対象</t>
    <rPh sb="0" eb="2">
      <t>コウシン</t>
    </rPh>
    <rPh sb="3" eb="5">
      <t>タイショウ</t>
    </rPh>
    <phoneticPr fontId="2"/>
  </si>
  <si>
    <t>稼働時間
ｈ/ｄ</t>
    <rPh sb="0" eb="4">
      <t>カドウジカン</t>
    </rPh>
    <phoneticPr fontId="2"/>
  </si>
  <si>
    <t>稼働日数
ｄ/ｙ</t>
    <rPh sb="0" eb="2">
      <t>カドウ</t>
    </rPh>
    <rPh sb="2" eb="4">
      <t>ニッスウ</t>
    </rPh>
    <phoneticPr fontId="2"/>
  </si>
  <si>
    <t>年間稼働時間
ｈ/ｙ</t>
    <rPh sb="0" eb="2">
      <t>ネンカン</t>
    </rPh>
    <rPh sb="2" eb="6">
      <t>カドウジカン</t>
    </rPh>
    <phoneticPr fontId="2"/>
  </si>
  <si>
    <t>16：30～09：00</t>
    <phoneticPr fontId="2"/>
  </si>
  <si>
    <t>16：00～04：00</t>
    <phoneticPr fontId="2"/>
  </si>
  <si>
    <t>R6年度</t>
    <rPh sb="2" eb="4">
      <t>ネンド</t>
    </rPh>
    <phoneticPr fontId="2"/>
  </si>
  <si>
    <t>平均</t>
    <rPh sb="0" eb="2">
      <t>ヘイキン</t>
    </rPh>
    <phoneticPr fontId="2"/>
  </si>
  <si>
    <t>使用電力量(kWh)</t>
    <rPh sb="0" eb="5">
      <t>シヨウデンリョクリョウ</t>
    </rPh>
    <phoneticPr fontId="2"/>
  </si>
  <si>
    <t>電力量料金</t>
    <rPh sb="0" eb="3">
      <t>デンリョクリョウ</t>
    </rPh>
    <rPh sb="3" eb="5">
      <t>リョウキン</t>
    </rPh>
    <phoneticPr fontId="2"/>
  </si>
  <si>
    <t>燃料費調整額</t>
    <rPh sb="0" eb="3">
      <t>ネンリョウヒ</t>
    </rPh>
    <rPh sb="3" eb="6">
      <t>チョウセイガク</t>
    </rPh>
    <phoneticPr fontId="2"/>
  </si>
  <si>
    <t>再エネ発電賦課金</t>
    <rPh sb="0" eb="1">
      <t>サイ</t>
    </rPh>
    <rPh sb="3" eb="5">
      <t>ハツデン</t>
    </rPh>
    <rPh sb="5" eb="8">
      <t>フカキン</t>
    </rPh>
    <phoneticPr fontId="2"/>
  </si>
  <si>
    <t>電力量単価</t>
    <rPh sb="0" eb="5">
      <t>デンリョクリョウタンカ</t>
    </rPh>
    <phoneticPr fontId="2"/>
  </si>
  <si>
    <t>R5年度</t>
    <rPh sb="2" eb="4">
      <t>ネンド</t>
    </rPh>
    <phoneticPr fontId="2"/>
  </si>
  <si>
    <t>R4年度</t>
    <rPh sb="2" eb="4">
      <t>ネンド</t>
    </rPh>
    <phoneticPr fontId="2"/>
  </si>
  <si>
    <t>R3年度</t>
    <rPh sb="2" eb="4">
      <t>ネンド</t>
    </rPh>
    <phoneticPr fontId="2"/>
  </si>
  <si>
    <t>R2年度</t>
    <rPh sb="2" eb="4">
      <t>ネンド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</si>
  <si>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</si>
  <si>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</si>
  <si>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</si>
  <si>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</si>
  <si>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</si>
  <si>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</si>
  <si>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</si>
  <si>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</si>
  <si>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</si>
  <si>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</si>
  <si>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</si>
  <si>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</si>
  <si>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月平均</t>
    <rPh sb="0" eb="1">
      <t>ツキ</t>
    </rPh>
    <rPh sb="1" eb="3">
      <t>ヘイキン</t>
    </rPh>
    <phoneticPr fontId="2"/>
  </si>
  <si>
    <t>合計</t>
    <rPh sb="0" eb="2">
      <t>ゴウケイ</t>
    </rPh>
    <phoneticPr fontId="2"/>
  </si>
  <si>
    <t>函館市本庁舎使用電力量</t>
    <rPh sb="0" eb="6">
      <t>ハコダテシホンチョウシャ</t>
    </rPh>
    <rPh sb="6" eb="8">
      <t>シヨウ</t>
    </rPh>
    <rPh sb="8" eb="10">
      <t>デンリョク</t>
    </rPh>
    <rPh sb="10" eb="11">
      <t>リョウ</t>
    </rPh>
    <phoneticPr fontId="2"/>
  </si>
  <si>
    <t>設定ベースライン</t>
    <rPh sb="0" eb="2">
      <t>セッテイ</t>
    </rPh>
    <phoneticPr fontId="2"/>
  </si>
  <si>
    <t>R7.1</t>
    <phoneticPr fontId="2"/>
  </si>
  <si>
    <t>R6.12</t>
    <phoneticPr fontId="2"/>
  </si>
  <si>
    <t>R6.11</t>
    <phoneticPr fontId="2"/>
  </si>
  <si>
    <t>R6.2</t>
  </si>
  <si>
    <t>R6.3</t>
  </si>
  <si>
    <t>R6.4</t>
  </si>
  <si>
    <t>R6.5</t>
  </si>
  <si>
    <t>R6.6</t>
  </si>
  <si>
    <t>R6.7</t>
  </si>
  <si>
    <t>R6.8</t>
  </si>
  <si>
    <t>R6.9</t>
  </si>
  <si>
    <t>R6.10</t>
  </si>
  <si>
    <t>月平均</t>
    <rPh sb="0" eb="3">
      <t>ツキヘイキン</t>
    </rPh>
    <phoneticPr fontId="2"/>
  </si>
  <si>
    <t>燃料費調整額</t>
    <rPh sb="0" eb="3">
      <t>ネンリョウヒ</t>
    </rPh>
    <rPh sb="3" eb="5">
      <t>チョウセイ</t>
    </rPh>
    <rPh sb="5" eb="6">
      <t>ガク</t>
    </rPh>
    <phoneticPr fontId="2"/>
  </si>
  <si>
    <t>電力単価</t>
    <rPh sb="0" eb="2">
      <t>デンリョク</t>
    </rPh>
    <rPh sb="2" eb="4">
      <t>タンカ</t>
    </rPh>
    <phoneticPr fontId="2"/>
  </si>
  <si>
    <t>R6.1</t>
    <phoneticPr fontId="2"/>
  </si>
  <si>
    <t>R5.12</t>
    <phoneticPr fontId="2"/>
  </si>
  <si>
    <t>R5.11</t>
    <phoneticPr fontId="2"/>
  </si>
  <si>
    <t>R5.3</t>
  </si>
  <si>
    <t>R5.4</t>
  </si>
  <si>
    <t>R5.5</t>
  </si>
  <si>
    <t>R5.6</t>
  </si>
  <si>
    <t>R5.7</t>
  </si>
  <si>
    <t>R5.8</t>
  </si>
  <si>
    <t>R5.9</t>
  </si>
  <si>
    <t>R5.10</t>
  </si>
  <si>
    <t>R5.2</t>
  </si>
  <si>
    <t>R5.1</t>
    <phoneticPr fontId="2"/>
  </si>
  <si>
    <t>R4.12</t>
    <phoneticPr fontId="2"/>
  </si>
  <si>
    <t>R4.11</t>
    <phoneticPr fontId="2"/>
  </si>
  <si>
    <t>R4.3</t>
  </si>
  <si>
    <t>R4.4</t>
  </si>
  <si>
    <t>R4.5</t>
  </si>
  <si>
    <t>R4.6</t>
  </si>
  <si>
    <t>R4.7</t>
  </si>
  <si>
    <t>R4.8</t>
  </si>
  <si>
    <t>R4.9</t>
  </si>
  <si>
    <t>R4.10</t>
  </si>
  <si>
    <t>R4.2</t>
  </si>
  <si>
    <t>電力料金</t>
    <rPh sb="0" eb="4">
      <t>デンリョクリョウキン</t>
    </rPh>
    <phoneticPr fontId="2"/>
  </si>
  <si>
    <t>燃料費調整額</t>
    <rPh sb="0" eb="6">
      <t>ネンリョウヒチョウセイガク</t>
    </rPh>
    <phoneticPr fontId="2"/>
  </si>
  <si>
    <t>電力単価</t>
    <rPh sb="0" eb="4">
      <t>デンリョクタンカ</t>
    </rPh>
    <phoneticPr fontId="2"/>
  </si>
  <si>
    <t>直近36ヶ月中12か月当り平均</t>
    <rPh sb="0" eb="2">
      <t>チョッキン</t>
    </rPh>
    <rPh sb="5" eb="6">
      <t>ゲツ</t>
    </rPh>
    <rPh sb="6" eb="7">
      <t>チュウ</t>
    </rPh>
    <rPh sb="10" eb="11">
      <t>ゲツ</t>
    </rPh>
    <rPh sb="11" eb="12">
      <t>アタ</t>
    </rPh>
    <rPh sb="13" eb="15">
      <t>ヘイキン</t>
    </rPh>
    <phoneticPr fontId="2"/>
  </si>
  <si>
    <t>照明設備分含む全使用電力</t>
    <rPh sb="0" eb="2">
      <t>ショウメイ</t>
    </rPh>
    <rPh sb="2" eb="4">
      <t>セツビ</t>
    </rPh>
    <rPh sb="4" eb="5">
      <t>ブン</t>
    </rPh>
    <rPh sb="5" eb="6">
      <t>フク</t>
    </rPh>
    <rPh sb="7" eb="8">
      <t>ゼン</t>
    </rPh>
    <rPh sb="8" eb="12">
      <t>シヨウデンリョク</t>
    </rPh>
    <phoneticPr fontId="2"/>
  </si>
  <si>
    <t>kWh</t>
    <phoneticPr fontId="2"/>
  </si>
  <si>
    <t>使用電力量（kWh）</t>
    <rPh sb="0" eb="5">
      <t>シヨウデンリョクリョウ</t>
    </rPh>
    <phoneticPr fontId="2"/>
  </si>
  <si>
    <t>年間消費電力
（kWh）</t>
    <rPh sb="0" eb="6">
      <t>ネンカンショウヒデンリョク</t>
    </rPh>
    <phoneticPr fontId="2"/>
  </si>
  <si>
    <t>BF1</t>
    <phoneticPr fontId="2"/>
  </si>
  <si>
    <t>照明器具
（更新対象）</t>
    <rPh sb="0" eb="2">
      <t>ショウメイ</t>
    </rPh>
    <rPh sb="2" eb="4">
      <t>キグ</t>
    </rPh>
    <rPh sb="6" eb="10">
      <t>コウシンタイショウ</t>
    </rPh>
    <phoneticPr fontId="2"/>
  </si>
  <si>
    <t>照明器具
（更新対象外）</t>
    <rPh sb="0" eb="2">
      <t>ショウメイ</t>
    </rPh>
    <rPh sb="2" eb="4">
      <t>キグ</t>
    </rPh>
    <rPh sb="6" eb="8">
      <t>コウシン</t>
    </rPh>
    <rPh sb="8" eb="11">
      <t>タイショウガイ</t>
    </rPh>
    <phoneticPr fontId="2"/>
  </si>
  <si>
    <t>本庁舎直近３６ヶ月使用電力量</t>
    <rPh sb="0" eb="3">
      <t>ホンチョウシャ</t>
    </rPh>
    <rPh sb="3" eb="5">
      <t>チョッキン</t>
    </rPh>
    <rPh sb="8" eb="9">
      <t>ゲツ</t>
    </rPh>
    <rPh sb="9" eb="14">
      <t>シヨウデンリョクリョウ</t>
    </rPh>
    <phoneticPr fontId="2"/>
  </si>
  <si>
    <t>本庁舎照明設備稼働時間</t>
    <rPh sb="0" eb="3">
      <t>ホンチョウシャ</t>
    </rPh>
    <rPh sb="3" eb="5">
      <t>ショウメイ</t>
    </rPh>
    <rPh sb="5" eb="7">
      <t>セツビ</t>
    </rPh>
    <rPh sb="7" eb="11">
      <t>カドウジカン</t>
    </rPh>
    <phoneticPr fontId="2"/>
  </si>
  <si>
    <t>本庁舎照明器具一覧</t>
    <rPh sb="0" eb="3">
      <t>ホンチョウシャ</t>
    </rPh>
    <rPh sb="3" eb="7">
      <t>ショウメイキグ</t>
    </rPh>
    <rPh sb="7" eb="9">
      <t>イチラン</t>
    </rPh>
    <phoneticPr fontId="2"/>
  </si>
  <si>
    <t>本庁舎照明器具台数</t>
    <rPh sb="0" eb="3">
      <t>ホンチョウシャ</t>
    </rPh>
    <rPh sb="3" eb="9">
      <t>ショウメイキグダイスウ</t>
    </rPh>
    <phoneticPr fontId="2"/>
  </si>
  <si>
    <t>誘導灯
（更新対象）</t>
    <rPh sb="0" eb="3">
      <t>ユウドウトウ</t>
    </rPh>
    <rPh sb="5" eb="9">
      <t>コウシンタイショウ</t>
    </rPh>
    <phoneticPr fontId="2"/>
  </si>
  <si>
    <t>非常照明
（更新対象）</t>
    <rPh sb="0" eb="2">
      <t>ヒジョウ</t>
    </rPh>
    <rPh sb="2" eb="4">
      <t>ショウメイ</t>
    </rPh>
    <rPh sb="6" eb="10">
      <t>コウシンタイショウ</t>
    </rPh>
    <phoneticPr fontId="2"/>
  </si>
  <si>
    <t>HF250外灯　丸(要ポール更新)</t>
  </si>
  <si>
    <t>HF250外灯　丸(要ポール更新)</t>
    <rPh sb="5" eb="7">
      <t>ガイトウ</t>
    </rPh>
    <rPh sb="8" eb="9">
      <t>マル</t>
    </rPh>
    <rPh sb="10" eb="11">
      <t>ヨウ</t>
    </rPh>
    <rPh sb="14" eb="16">
      <t>コウシン</t>
    </rPh>
    <phoneticPr fontId="6"/>
  </si>
  <si>
    <t>誘導灯
（更新対象外）</t>
    <rPh sb="0" eb="3">
      <t>ユウドウトウ</t>
    </rPh>
    <rPh sb="5" eb="9">
      <t>コウシンタイショウ</t>
    </rPh>
    <rPh sb="9" eb="10">
      <t>ガイ</t>
    </rPh>
    <phoneticPr fontId="2"/>
  </si>
  <si>
    <t>非常照明
（更新対象外）</t>
    <rPh sb="0" eb="2">
      <t>ヒジョウ</t>
    </rPh>
    <rPh sb="2" eb="4">
      <t>ショウメイ</t>
    </rPh>
    <rPh sb="6" eb="10">
      <t>コウシンタイショウ</t>
    </rPh>
    <rPh sb="10" eb="11">
      <t>ガイ</t>
    </rPh>
    <phoneticPr fontId="2"/>
  </si>
  <si>
    <t>更新対象
合計</t>
    <rPh sb="0" eb="4">
      <t>コウシンタイショウ</t>
    </rPh>
    <rPh sb="5" eb="7">
      <t>ゴウケイ</t>
    </rPh>
    <phoneticPr fontId="2"/>
  </si>
  <si>
    <t>更新対象外
合計</t>
    <rPh sb="0" eb="4">
      <t>コウシンタイショウ</t>
    </rPh>
    <rPh sb="4" eb="5">
      <t>ガイ</t>
    </rPh>
    <rPh sb="6" eb="8">
      <t>ゴウケイ</t>
    </rPh>
    <phoneticPr fontId="2"/>
  </si>
  <si>
    <t>器具合計</t>
    <rPh sb="0" eb="2">
      <t>キグ</t>
    </rPh>
    <rPh sb="2" eb="4">
      <t>ゴウケイ</t>
    </rPh>
    <phoneticPr fontId="2"/>
  </si>
  <si>
    <t>本庁舎既設照明器具リスト</t>
    <rPh sb="0" eb="3">
      <t>ホンチョウシャ</t>
    </rPh>
    <rPh sb="3" eb="5">
      <t>キセツ</t>
    </rPh>
    <rPh sb="5" eb="7">
      <t>ショウメイ</t>
    </rPh>
    <rPh sb="7" eb="9">
      <t>キグ</t>
    </rPh>
    <phoneticPr fontId="2"/>
  </si>
  <si>
    <t>登庁時，退庁時</t>
    <rPh sb="0" eb="2">
      <t>トウチョウ</t>
    </rPh>
    <rPh sb="2" eb="3">
      <t>ジ</t>
    </rPh>
    <rPh sb="4" eb="7">
      <t>タイチョウジ</t>
    </rPh>
    <phoneticPr fontId="2"/>
  </si>
  <si>
    <t>表に記載の数量は企画提案書作成時の参考とし，最終的な数量は受託候補者決定後の現地調査，詳細協議および仕様作成を経て確定することとする。</t>
    <rPh sb="0" eb="1">
      <t>ヒョウ</t>
    </rPh>
    <rPh sb="2" eb="4">
      <t>キサイ</t>
    </rPh>
    <rPh sb="5" eb="7">
      <t>スウリョウ</t>
    </rPh>
    <rPh sb="8" eb="13">
      <t>キカクテイアンショ</t>
    </rPh>
    <rPh sb="13" eb="16">
      <t>サクセイジ</t>
    </rPh>
    <rPh sb="17" eb="19">
      <t>サンコウ</t>
    </rPh>
    <rPh sb="22" eb="25">
      <t>サイシュウテキ</t>
    </rPh>
    <rPh sb="26" eb="28">
      <t>スウリョウ</t>
    </rPh>
    <rPh sb="29" eb="37">
      <t>ジュタクコウホシャケッテイゴ</t>
    </rPh>
    <rPh sb="38" eb="42">
      <t>ゲンチチョウサ</t>
    </rPh>
    <rPh sb="43" eb="47">
      <t>ショウサイキョウギ</t>
    </rPh>
    <rPh sb="50" eb="52">
      <t>シヨウ</t>
    </rPh>
    <rPh sb="52" eb="54">
      <t>サクセイ</t>
    </rPh>
    <rPh sb="55" eb="56">
      <t>ヘ</t>
    </rPh>
    <rPh sb="57" eb="59">
      <t>カクテイ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</si>
</sst>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×&quot;#,##0"/>
    <numFmt numFmtId="177" formatCode="0.00_ "/>
    <numFmt numFmtId="178" formatCode="#,##0_ ;[Red]\-#,##0\ 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176" fontId="0" fillId="0" borderId="1" xfId="0" applyNumberFormat="1" applyBorder="1"/>
    <xf numFmtId="176" fontId="0" fillId="0" borderId="1" xfId="0" applyNumberFormat="1" applyFill="1" applyBorder="1"/>
    <xf numFmtId="0" fontId="0" fillId="0" borderId="0" xfId="0" applyFill="1" applyBorder="1"/>
    <xf numFmtId="0" fontId="0" fillId="0" borderId="0" xfId="0" applyBorder="1"/>
    <xf numFmtId="176" fontId="0" fillId="0" borderId="0" xfId="0" applyNumberFormat="1" applyBorder="1"/>
    <xf numFmtId="176" fontId="0" fillId="0" borderId="0" xfId="0" applyNumberFormat="1" applyFill="1" applyBorder="1"/>
    <xf numFmtId="0" fontId="0" fillId="0" borderId="0" xfId="0" applyFill="1"/>
    <xf numFmtId="0" fontId="0" fillId="0" borderId="0" xfId="0" applyFont="1"/>
    <xf numFmtId="0" fontId="0" fillId="0" borderId="1" xfId="0" applyFont="1" applyBorder="1"/>
    <xf numFmtId="176" fontId="0" fillId="0" borderId="1" xfId="0" applyNumberFormat="1" applyFont="1" applyBorder="1"/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 applyBorder="1"/>
    <xf numFmtId="176" fontId="0" fillId="0" borderId="0" xfId="0" applyNumberFormat="1" applyFont="1" applyFill="1" applyBorder="1"/>
    <xf numFmtId="0" fontId="5" fillId="0" borderId="0" xfId="0" applyFont="1"/>
    <xf numFmtId="0" fontId="5" fillId="0" borderId="1" xfId="0" applyFont="1" applyBorder="1"/>
    <xf numFmtId="49" fontId="5" fillId="0" borderId="1" xfId="2" applyNumberFormat="1" applyFont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Border="1"/>
    <xf numFmtId="0" fontId="5" fillId="0" borderId="1" xfId="3" applyFont="1" applyBorder="1" applyAlignment="1">
      <alignment horizontal="left" vertical="center" shrinkToFit="1"/>
    </xf>
    <xf numFmtId="38" fontId="5" fillId="0" borderId="1" xfId="1" applyFont="1" applyFill="1" applyBorder="1" applyAlignment="1" applyProtection="1">
      <alignment horizontal="right" vertical="center" shrinkToFit="1"/>
    </xf>
    <xf numFmtId="0" fontId="0" fillId="2" borderId="1" xfId="0" applyFill="1" applyBorder="1"/>
    <xf numFmtId="49" fontId="5" fillId="2" borderId="1" xfId="2" applyNumberFormat="1" applyFont="1" applyFill="1" applyBorder="1" applyAlignment="1">
      <alignment vertical="center" shrinkToFit="1"/>
    </xf>
    <xf numFmtId="0" fontId="5" fillId="2" borderId="1" xfId="3" applyFont="1" applyFill="1" applyBorder="1" applyAlignment="1">
      <alignment horizontal="left" vertical="center" shrinkToFit="1"/>
    </xf>
    <xf numFmtId="38" fontId="5" fillId="2" borderId="1" xfId="1" applyFont="1" applyFill="1" applyBorder="1" applyAlignment="1" applyProtection="1">
      <alignment horizontal="right" vertical="center" shrinkToFit="1"/>
    </xf>
    <xf numFmtId="0" fontId="5" fillId="0" borderId="1" xfId="0" applyFont="1" applyFill="1" applyBorder="1"/>
    <xf numFmtId="38" fontId="5" fillId="0" borderId="1" xfId="1" applyFont="1" applyBorder="1" applyAlignment="1">
      <alignment vertical="center" shrinkToFit="1"/>
    </xf>
    <xf numFmtId="0" fontId="5" fillId="0" borderId="0" xfId="0" applyFont="1" applyFill="1"/>
    <xf numFmtId="38" fontId="5" fillId="0" borderId="1" xfId="1" applyFont="1" applyFill="1" applyBorder="1" applyAlignment="1">
      <alignment vertical="center" shrinkToFit="1"/>
    </xf>
    <xf numFmtId="176" fontId="5" fillId="0" borderId="1" xfId="0" applyNumberFormat="1" applyFont="1" applyBorder="1"/>
    <xf numFmtId="176" fontId="5" fillId="0" borderId="1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5" fillId="0" borderId="1" xfId="0" applyFont="1" applyBorder="1" applyAlignment="1">
      <alignment vertical="center" shrinkToFit="1"/>
    </xf>
    <xf numFmtId="0" fontId="0" fillId="0" borderId="2" xfId="0" applyBorder="1"/>
    <xf numFmtId="0" fontId="5" fillId="0" borderId="3" xfId="0" applyFont="1" applyBorder="1"/>
    <xf numFmtId="0" fontId="5" fillId="2" borderId="1" xfId="0" applyFont="1" applyFill="1" applyBorder="1" applyAlignment="1">
      <alignment vertical="center" shrinkToFit="1"/>
    </xf>
    <xf numFmtId="176" fontId="0" fillId="2" borderId="1" xfId="0" applyNumberFormat="1" applyFill="1" applyBorder="1"/>
    <xf numFmtId="38" fontId="5" fillId="2" borderId="1" xfId="1" applyFont="1" applyFill="1" applyBorder="1" applyAlignment="1">
      <alignment vertical="center" shrinkToFit="1"/>
    </xf>
    <xf numFmtId="38" fontId="7" fillId="0" borderId="1" xfId="1" applyFont="1" applyFill="1" applyBorder="1" applyAlignment="1" applyProtection="1">
      <alignment horizontal="right" vertical="center" shrinkToFit="1"/>
    </xf>
    <xf numFmtId="38" fontId="5" fillId="0" borderId="0" xfId="0" applyNumberFormat="1" applyFont="1" applyBorder="1"/>
    <xf numFmtId="0" fontId="0" fillId="2" borderId="1" xfId="0" applyFont="1" applyFill="1" applyBorder="1"/>
    <xf numFmtId="0" fontId="5" fillId="2" borderId="1" xfId="0" applyFont="1" applyFill="1" applyBorder="1"/>
    <xf numFmtId="176" fontId="5" fillId="2" borderId="1" xfId="0" applyNumberFormat="1" applyFont="1" applyFill="1" applyBorder="1"/>
    <xf numFmtId="0" fontId="5" fillId="0" borderId="1" xfId="0" applyFont="1" applyFill="1" applyBorder="1" applyAlignment="1">
      <alignment vertical="center" shrinkToFit="1"/>
    </xf>
    <xf numFmtId="49" fontId="5" fillId="0" borderId="1" xfId="2" applyNumberFormat="1" applyFont="1" applyFill="1" applyBorder="1" applyAlignment="1">
      <alignment vertical="center" shrinkToFit="1"/>
    </xf>
    <xf numFmtId="0" fontId="5" fillId="0" borderId="1" xfId="3" applyFont="1" applyFill="1" applyBorder="1" applyAlignment="1">
      <alignment horizontal="left" vertical="center" shrinkToFit="1"/>
    </xf>
    <xf numFmtId="0" fontId="5" fillId="0" borderId="1" xfId="4" applyFont="1" applyBorder="1" applyAlignment="1">
      <alignment horizontal="left" vertical="center" shrinkToFit="1"/>
    </xf>
    <xf numFmtId="38" fontId="5" fillId="0" borderId="0" xfId="1" applyFont="1" applyFill="1" applyBorder="1" applyAlignment="1" applyProtection="1">
      <alignment horizontal="right" vertical="center" shrinkToFit="1"/>
    </xf>
    <xf numFmtId="0" fontId="0" fillId="3" borderId="1" xfId="0" applyFill="1" applyBorder="1"/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/>
    <xf numFmtId="49" fontId="5" fillId="3" borderId="1" xfId="2" applyNumberFormat="1" applyFont="1" applyFill="1" applyBorder="1" applyAlignment="1">
      <alignment vertical="center" shrinkToFit="1"/>
    </xf>
    <xf numFmtId="0" fontId="5" fillId="3" borderId="1" xfId="3" applyFont="1" applyFill="1" applyBorder="1" applyAlignment="1">
      <alignment horizontal="left" vertical="center" shrinkToFit="1"/>
    </xf>
    <xf numFmtId="176" fontId="5" fillId="3" borderId="1" xfId="0" applyNumberFormat="1" applyFont="1" applyFill="1" applyBorder="1"/>
    <xf numFmtId="38" fontId="5" fillId="3" borderId="1" xfId="1" applyFont="1" applyFill="1" applyBorder="1" applyAlignment="1" applyProtection="1">
      <alignment horizontal="right" vertical="center" shrinkToFit="1"/>
    </xf>
    <xf numFmtId="38" fontId="5" fillId="3" borderId="1" xfId="1" applyFont="1" applyFill="1" applyBorder="1" applyAlignment="1">
      <alignment vertical="center" shrinkToFit="1"/>
    </xf>
    <xf numFmtId="0" fontId="0" fillId="3" borderId="1" xfId="0" applyFont="1" applyFill="1" applyBorder="1"/>
    <xf numFmtId="0" fontId="5" fillId="0" borderId="4" xfId="0" applyFont="1" applyBorder="1" applyAlignment="1">
      <alignment vertical="center" shrinkToFit="1"/>
    </xf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176" fontId="0" fillId="3" borderId="1" xfId="0" applyNumberFormat="1" applyFont="1" applyFill="1" applyBorder="1"/>
    <xf numFmtId="0" fontId="0" fillId="4" borderId="1" xfId="0" applyFill="1" applyBorder="1"/>
    <xf numFmtId="0" fontId="5" fillId="4" borderId="1" xfId="0" applyFont="1" applyFill="1" applyBorder="1" applyAlignment="1">
      <alignment vertical="center" shrinkToFit="1"/>
    </xf>
    <xf numFmtId="0" fontId="0" fillId="4" borderId="1" xfId="0" applyFont="1" applyFill="1" applyBorder="1"/>
    <xf numFmtId="0" fontId="5" fillId="4" borderId="1" xfId="0" applyFont="1" applyFill="1" applyBorder="1"/>
    <xf numFmtId="176" fontId="0" fillId="4" borderId="1" xfId="0" applyNumberFormat="1" applyFill="1" applyBorder="1"/>
    <xf numFmtId="0" fontId="0" fillId="4" borderId="0" xfId="0" applyFill="1"/>
    <xf numFmtId="0" fontId="9" fillId="0" borderId="0" xfId="0" applyFont="1"/>
    <xf numFmtId="0" fontId="9" fillId="0" borderId="1" xfId="0" applyFont="1" applyBorder="1"/>
    <xf numFmtId="0" fontId="5" fillId="0" borderId="1" xfId="4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shrinkToFit="1"/>
    </xf>
    <xf numFmtId="56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2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1" xfId="4" applyFont="1" applyBorder="1" applyAlignment="1">
      <alignment horizontal="left" vertical="center" shrinkToFit="1"/>
    </xf>
    <xf numFmtId="176" fontId="13" fillId="0" borderId="1" xfId="0" applyNumberFormat="1" applyFont="1" applyBorder="1"/>
    <xf numFmtId="0" fontId="13" fillId="0" borderId="1" xfId="3" applyFont="1" applyBorder="1" applyAlignment="1">
      <alignment horizontal="left" vertical="center" shrinkToFit="1"/>
    </xf>
    <xf numFmtId="0" fontId="13" fillId="0" borderId="1" xfId="3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/>
    <xf numFmtId="38" fontId="13" fillId="0" borderId="1" xfId="1" applyFont="1" applyFill="1" applyBorder="1" applyAlignment="1">
      <alignment vertical="center" shrinkToFit="1"/>
    </xf>
    <xf numFmtId="0" fontId="0" fillId="5" borderId="0" xfId="0" applyFill="1"/>
    <xf numFmtId="0" fontId="14" fillId="0" borderId="0" xfId="0" applyFont="1"/>
    <xf numFmtId="38" fontId="9" fillId="0" borderId="1" xfId="1" applyNumberFormat="1" applyFont="1" applyBorder="1" applyAlignment="1"/>
    <xf numFmtId="177" fontId="9" fillId="0" borderId="1" xfId="0" applyNumberFormat="1" applyFont="1" applyBorder="1"/>
    <xf numFmtId="0" fontId="9" fillId="5" borderId="1" xfId="0" applyFont="1" applyFill="1" applyBorder="1"/>
    <xf numFmtId="0" fontId="9" fillId="0" borderId="1" xfId="0" applyFont="1" applyBorder="1" applyAlignment="1">
      <alignment horizontal="right"/>
    </xf>
    <xf numFmtId="0" fontId="15" fillId="0" borderId="0" xfId="0" applyFont="1"/>
    <xf numFmtId="38" fontId="0" fillId="0" borderId="0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8" fontId="9" fillId="0" borderId="1" xfId="0" applyNumberFormat="1" applyFont="1" applyBorder="1" applyAlignment="1">
      <alignment horizontal="right"/>
    </xf>
    <xf numFmtId="38" fontId="9" fillId="0" borderId="8" xfId="0" applyNumberFormat="1" applyFont="1" applyBorder="1" applyAlignment="1">
      <alignment horizontal="right"/>
    </xf>
    <xf numFmtId="40" fontId="9" fillId="0" borderId="1" xfId="0" applyNumberFormat="1" applyFont="1" applyBorder="1" applyAlignment="1">
      <alignment horizontal="right"/>
    </xf>
    <xf numFmtId="40" fontId="9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8" fontId="9" fillId="0" borderId="7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40" fontId="9" fillId="0" borderId="1" xfId="1" applyNumberFormat="1" applyFont="1" applyBorder="1" applyAlignment="1">
      <alignment horizontal="right"/>
    </xf>
    <xf numFmtId="0" fontId="12" fillId="0" borderId="0" xfId="0" applyFont="1"/>
    <xf numFmtId="38" fontId="9" fillId="0" borderId="1" xfId="1" applyFont="1" applyBorder="1" applyAlignment="1"/>
    <xf numFmtId="40" fontId="9" fillId="0" borderId="1" xfId="1" applyNumberFormat="1" applyFont="1" applyBorder="1" applyAlignment="1"/>
    <xf numFmtId="0" fontId="11" fillId="0" borderId="9" xfId="0" applyFont="1" applyBorder="1"/>
    <xf numFmtId="38" fontId="11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1" xfId="0" applyFont="1" applyBorder="1" applyAlignment="1"/>
    <xf numFmtId="0" fontId="9" fillId="0" borderId="10" xfId="0" applyFont="1" applyBorder="1" applyAlignment="1"/>
    <xf numFmtId="0" fontId="9" fillId="0" borderId="12" xfId="0" applyFont="1" applyBorder="1" applyAlignment="1"/>
    <xf numFmtId="38" fontId="9" fillId="0" borderId="1" xfId="0" applyNumberFormat="1" applyFont="1" applyBorder="1" applyAlignment="1"/>
    <xf numFmtId="38" fontId="9" fillId="0" borderId="11" xfId="0" applyNumberFormat="1" applyFont="1" applyBorder="1" applyAlignment="1"/>
    <xf numFmtId="38" fontId="9" fillId="0" borderId="7" xfId="0" applyNumberFormat="1" applyFont="1" applyBorder="1"/>
    <xf numFmtId="0" fontId="9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38" fontId="9" fillId="0" borderId="1" xfId="0" applyNumberFormat="1" applyFont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wrapText="1"/>
    </xf>
    <xf numFmtId="38" fontId="9" fillId="0" borderId="13" xfId="0" applyNumberFormat="1" applyFont="1" applyBorder="1"/>
    <xf numFmtId="38" fontId="9" fillId="0" borderId="14" xfId="0" applyNumberFormat="1" applyFont="1" applyBorder="1"/>
    <xf numFmtId="38" fontId="9" fillId="0" borderId="15" xfId="0" applyNumberFormat="1" applyFont="1" applyBorder="1"/>
    <xf numFmtId="38" fontId="9" fillId="0" borderId="16" xfId="0" applyNumberFormat="1" applyFont="1" applyBorder="1"/>
    <xf numFmtId="38" fontId="9" fillId="0" borderId="11" xfId="0" applyNumberFormat="1" applyFont="1" applyBorder="1"/>
    <xf numFmtId="178" fontId="0" fillId="0" borderId="1" xfId="1" applyNumberFormat="1" applyFont="1" applyFill="1" applyBorder="1" applyAlignment="1"/>
    <xf numFmtId="178" fontId="0" fillId="0" borderId="1" xfId="0" applyNumberFormat="1" applyFont="1" applyFill="1" applyBorder="1"/>
    <xf numFmtId="38" fontId="13" fillId="0" borderId="1" xfId="1" applyNumberFormat="1" applyFont="1" applyBorder="1" applyAlignment="1"/>
    <xf numFmtId="0" fontId="9" fillId="0" borderId="17" xfId="0" applyFont="1" applyFill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3 2" xfId="3" xr:uid="{D90C779C-2FE6-418F-8383-4ECB74D512E3}"/>
    <cellStyle name="標準 3 3 2" xfId="2" xr:uid="{4656688B-7941-448F-BB76-8FF1CD7F93AB}"/>
    <cellStyle name="標準_経済比較" xfId="4" xr:uid="{62984CD7-F883-4E2F-9E56-70072B36A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DD28-5E2F-4F10-A9E4-FE3AC7531B30}">
  <sheetPr>
    <tabColor rgb="FF00B050"/>
  </sheetPr>
  <dimension ref="A3:C10"/>
  <sheetViews>
    <sheetView workbookViewId="0">
      <selection activeCell="A6" sqref="A6"/>
    </sheetView>
  </sheetViews>
  <sheetFormatPr defaultRowHeight="17.649999999999999"/>
  <cols>
    <col min="1" max="1" width="25.5625" customWidth="1"/>
    <col min="2" max="2" width="27.5625" customWidth="1"/>
    <col min="3" max="3" width="25.5625" customWidth="1"/>
  </cols>
  <sheetData>
    <row r="3" spans="1:3" ht="25.05" customHeight="1" thickBot="1">
      <c r="A3" s="121" t="s">
        <v>1550</v>
      </c>
      <c r="B3" s="122">
        <f>B6</f>
        <v>1842033</v>
      </c>
      <c r="C3" s="121" t="s">
        <v>1595</v>
      </c>
    </row>
    <row r="4" spans="1:3" ht="25.05" customHeight="1">
      <c r="A4" s="73"/>
      <c r="B4" s="73"/>
    </row>
    <row r="5" spans="1:3" ht="25.05" customHeight="1">
      <c r="A5" s="107"/>
      <c r="B5" s="107" t="s">
        <v>1593</v>
      </c>
      <c r="C5" s="107" t="s">
        <v>10</v>
      </c>
    </row>
    <row r="6" spans="1:3" ht="25.05" customHeight="1">
      <c r="A6" s="74" t="s">
        <v>1596</v>
      </c>
      <c r="B6" s="119">
        <f>ROUND((直近36ヶ月使用電力量!N4+直近36ヶ月使用電力量!N11+直近36ヶ月使用電力量!N18)/3,0)</f>
        <v>1842033</v>
      </c>
      <c r="C6" s="74" t="s">
        <v>1594</v>
      </c>
    </row>
    <row r="7" spans="1:3" ht="25.05" customHeight="1">
      <c r="A7" s="74" t="s">
        <v>1590</v>
      </c>
      <c r="B7" s="120">
        <f>ROUND((直近36ヶ月使用電力量!O5+直近36ヶ月使用電力量!O12+直近36ヶ月使用電力量!O19)/3,2)</f>
        <v>23.84</v>
      </c>
      <c r="C7" s="74"/>
    </row>
    <row r="8" spans="1:3" ht="25.05" customHeight="1">
      <c r="A8" s="74" t="s">
        <v>1591</v>
      </c>
      <c r="B8" s="120">
        <f>ROUND((直近36ヶ月使用電力量!O6+直近36ヶ月使用電力量!O13+直近36ヶ月使用電力量!O20)/3,2)</f>
        <v>-2.2400000000000002</v>
      </c>
      <c r="C8" s="74"/>
    </row>
    <row r="9" spans="1:3" ht="25.05" customHeight="1">
      <c r="A9" s="74" t="s">
        <v>1529</v>
      </c>
      <c r="B9" s="120">
        <f>ROUND((直近36ヶ月使用電力量!O7+直近36ヶ月使用電力量!O14+直近36ヶ月使用電力量!O21)/3,2)</f>
        <v>2.78</v>
      </c>
      <c r="C9" s="74"/>
    </row>
    <row r="10" spans="1:3" ht="25.05" customHeight="1">
      <c r="A10" s="74" t="s">
        <v>1592</v>
      </c>
      <c r="B10" s="120">
        <f>ROUND((直近36ヶ月使用電力量!O8+直近36ヶ月使用電力量!O15+直近36ヶ月使用電力量!O22)/3,2)</f>
        <v>24.38</v>
      </c>
      <c r="C10" s="7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B841-6A84-4602-A7CB-D18939310D6A}">
  <sheetPr>
    <tabColor rgb="FF00B050"/>
  </sheetPr>
  <dimension ref="A1:O22"/>
  <sheetViews>
    <sheetView workbookViewId="0">
      <selection activeCell="A4" sqref="A4"/>
    </sheetView>
  </sheetViews>
  <sheetFormatPr defaultRowHeight="17.649999999999999"/>
  <cols>
    <col min="1" max="1" width="25.5625" customWidth="1"/>
    <col min="2" max="15" width="10.5625" customWidth="1"/>
  </cols>
  <sheetData>
    <row r="1" spans="1:15" ht="21.4">
      <c r="A1" s="118" t="s">
        <v>1601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5.05" customHeight="1">
      <c r="A3" s="107"/>
      <c r="B3" s="107" t="s">
        <v>1554</v>
      </c>
      <c r="C3" s="107" t="s">
        <v>1555</v>
      </c>
      <c r="D3" s="107" t="s">
        <v>1556</v>
      </c>
      <c r="E3" s="107" t="s">
        <v>1557</v>
      </c>
      <c r="F3" s="107" t="s">
        <v>1558</v>
      </c>
      <c r="G3" s="107" t="s">
        <v>1559</v>
      </c>
      <c r="H3" s="107" t="s">
        <v>1560</v>
      </c>
      <c r="I3" s="107" t="s">
        <v>1561</v>
      </c>
      <c r="J3" s="107" t="s">
        <v>1562</v>
      </c>
      <c r="K3" s="107" t="s">
        <v>1553</v>
      </c>
      <c r="L3" s="107" t="s">
        <v>1552</v>
      </c>
      <c r="M3" s="108" t="s">
        <v>1551</v>
      </c>
      <c r="N3" s="109" t="s">
        <v>1548</v>
      </c>
      <c r="O3" s="107" t="s">
        <v>1563</v>
      </c>
    </row>
    <row r="4" spans="1:15" ht="25.05" customHeight="1">
      <c r="A4" s="74" t="s">
        <v>1596</v>
      </c>
      <c r="B4" s="110">
        <f>使用電力量!L11</f>
        <v>143554</v>
      </c>
      <c r="C4" s="110">
        <f>使用電力量!M11</f>
        <v>150737</v>
      </c>
      <c r="D4" s="110">
        <f>使用電力量!B4</f>
        <v>128318</v>
      </c>
      <c r="E4" s="110">
        <f>使用電力量!C4</f>
        <v>128069</v>
      </c>
      <c r="F4" s="110">
        <f>使用電力量!D4</f>
        <v>141523</v>
      </c>
      <c r="G4" s="110">
        <f>使用電力量!E4</f>
        <v>191366</v>
      </c>
      <c r="H4" s="110">
        <f>使用電力量!F4</f>
        <v>208327</v>
      </c>
      <c r="I4" s="110">
        <f>使用電力量!G4</f>
        <v>173599</v>
      </c>
      <c r="J4" s="110">
        <f>使用電力量!H4</f>
        <v>173599</v>
      </c>
      <c r="K4" s="110">
        <f>使用電力量!I4</f>
        <v>133656</v>
      </c>
      <c r="L4" s="110">
        <f>使用電力量!J4</f>
        <v>153718</v>
      </c>
      <c r="M4" s="111">
        <f>使用電力量!K4</f>
        <v>156094</v>
      </c>
      <c r="N4" s="115">
        <f>SUM(B4:M4)</f>
        <v>1882560</v>
      </c>
      <c r="O4" s="116">
        <f>ROUND(AVERAGE(B4:M4),0)</f>
        <v>156880</v>
      </c>
    </row>
    <row r="5" spans="1:15" ht="25.05" customHeight="1">
      <c r="A5" s="74" t="s">
        <v>1527</v>
      </c>
      <c r="B5" s="112">
        <f>使用電力量!L12</f>
        <v>31.7</v>
      </c>
      <c r="C5" s="112">
        <f>使用電力量!M12</f>
        <v>31.7</v>
      </c>
      <c r="D5" s="112">
        <f>使用電力量!B5</f>
        <v>21.75</v>
      </c>
      <c r="E5" s="112">
        <f>使用電力量!C5</f>
        <v>21.75</v>
      </c>
      <c r="F5" s="112">
        <f>使用電力量!D5</f>
        <v>21.75</v>
      </c>
      <c r="G5" s="112">
        <f>使用電力量!E5</f>
        <v>21.75</v>
      </c>
      <c r="H5" s="112">
        <f>使用電力量!F5</f>
        <v>21.75</v>
      </c>
      <c r="I5" s="112">
        <f>使用電力量!G5</f>
        <v>21.75</v>
      </c>
      <c r="J5" s="112">
        <f>使用電力量!H5</f>
        <v>21.75</v>
      </c>
      <c r="K5" s="112">
        <f>使用電力量!I5</f>
        <v>20.96</v>
      </c>
      <c r="L5" s="112">
        <f>使用電力量!J5</f>
        <v>20.96</v>
      </c>
      <c r="M5" s="113">
        <f>使用電力量!K5</f>
        <v>20.96</v>
      </c>
      <c r="N5" s="115"/>
      <c r="O5" s="117">
        <f>ROUND(AVERAGE(B5:M5),2)</f>
        <v>23.21</v>
      </c>
    </row>
    <row r="6" spans="1:15" ht="25.05" customHeight="1">
      <c r="A6" s="74" t="s">
        <v>1564</v>
      </c>
      <c r="B6" s="112">
        <f>使用電力量!L13</f>
        <v>-11.63</v>
      </c>
      <c r="C6" s="112">
        <f>使用電力量!M13</f>
        <v>-11.77</v>
      </c>
      <c r="D6" s="112">
        <f>使用電力量!B6</f>
        <v>-2.38</v>
      </c>
      <c r="E6" s="112">
        <f>使用電力量!C6</f>
        <v>-2.72</v>
      </c>
      <c r="F6" s="112">
        <f>使用電力量!D6</f>
        <v>-2.0699999999999998</v>
      </c>
      <c r="G6" s="112">
        <f>使用電力量!E6</f>
        <v>-1.28</v>
      </c>
      <c r="H6" s="112">
        <f>使用電力量!F6</f>
        <v>-1.24</v>
      </c>
      <c r="I6" s="112">
        <f>使用電力量!G6</f>
        <v>-3.16</v>
      </c>
      <c r="J6" s="112">
        <f>使用電力量!H6</f>
        <v>-3.16</v>
      </c>
      <c r="K6" s="112">
        <f>使用電力量!I6</f>
        <v>-1.91</v>
      </c>
      <c r="L6" s="112">
        <f>使用電力量!J6</f>
        <v>-0.77</v>
      </c>
      <c r="M6" s="113">
        <f>使用電力量!K6</f>
        <v>-1.06</v>
      </c>
      <c r="N6" s="115"/>
      <c r="O6" s="117">
        <f>ROUND(AVERAGE(B6:M6),2)</f>
        <v>-3.6</v>
      </c>
    </row>
    <row r="7" spans="1:15" ht="25.05" customHeight="1">
      <c r="A7" s="74" t="s">
        <v>1529</v>
      </c>
      <c r="B7" s="112">
        <f>使用電力量!L14</f>
        <v>1.4</v>
      </c>
      <c r="C7" s="112">
        <f>使用電力量!M14</f>
        <v>1.4</v>
      </c>
      <c r="D7" s="112">
        <f>使用電力量!B7</f>
        <v>1.4</v>
      </c>
      <c r="E7" s="112">
        <f>使用電力量!C7</f>
        <v>3.49</v>
      </c>
      <c r="F7" s="112">
        <f>使用電力量!D7</f>
        <v>3.49</v>
      </c>
      <c r="G7" s="112">
        <f>使用電力量!E7</f>
        <v>3.49</v>
      </c>
      <c r="H7" s="112">
        <f>使用電力量!F7</f>
        <v>3.49</v>
      </c>
      <c r="I7" s="112">
        <f>使用電力量!G7</f>
        <v>3.49</v>
      </c>
      <c r="J7" s="112">
        <f>使用電力量!H7</f>
        <v>3.49</v>
      </c>
      <c r="K7" s="112">
        <f>使用電力量!I7</f>
        <v>3.49</v>
      </c>
      <c r="L7" s="112">
        <f>使用電力量!J7</f>
        <v>3.49</v>
      </c>
      <c r="M7" s="113">
        <f>使用電力量!K7</f>
        <v>3.49</v>
      </c>
      <c r="N7" s="115"/>
      <c r="O7" s="117">
        <f>ROUND(AVERAGE(B7:M7),)</f>
        <v>3</v>
      </c>
    </row>
    <row r="8" spans="1:15" ht="25.05" customHeight="1">
      <c r="A8" s="74" t="s">
        <v>1565</v>
      </c>
      <c r="B8" s="112">
        <f>使用電力量!L15</f>
        <v>21.47</v>
      </c>
      <c r="C8" s="112">
        <f>使用電力量!M15</f>
        <v>21.33</v>
      </c>
      <c r="D8" s="112">
        <f>使用電力量!B8</f>
        <v>20.77</v>
      </c>
      <c r="E8" s="112">
        <f>使用電力量!C8</f>
        <v>22.520000000000003</v>
      </c>
      <c r="F8" s="112">
        <f>使用電力量!D8</f>
        <v>23.17</v>
      </c>
      <c r="G8" s="112">
        <f>使用電力量!E8</f>
        <v>23.96</v>
      </c>
      <c r="H8" s="112">
        <f>使用電力量!F8</f>
        <v>24</v>
      </c>
      <c r="I8" s="112">
        <f>使用電力量!G8</f>
        <v>22.08</v>
      </c>
      <c r="J8" s="112">
        <f>使用電力量!H8</f>
        <v>22.08</v>
      </c>
      <c r="K8" s="112">
        <f>使用電力量!I8</f>
        <v>22.54</v>
      </c>
      <c r="L8" s="112">
        <f>使用電力量!J8</f>
        <v>23.68</v>
      </c>
      <c r="M8" s="113">
        <f>使用電力量!K8</f>
        <v>23.39</v>
      </c>
      <c r="N8" s="115"/>
      <c r="O8" s="117">
        <f>ROUND(AVERAGE(B8:M8),2)</f>
        <v>22.58</v>
      </c>
    </row>
    <row r="9" spans="1:15" ht="25.05" customHeight="1">
      <c r="A9" s="7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ht="25.05" customHeight="1">
      <c r="A10" s="107"/>
      <c r="B10" s="107" t="s">
        <v>1577</v>
      </c>
      <c r="C10" s="107" t="s">
        <v>1569</v>
      </c>
      <c r="D10" s="107" t="s">
        <v>1570</v>
      </c>
      <c r="E10" s="107" t="s">
        <v>1571</v>
      </c>
      <c r="F10" s="107" t="s">
        <v>1572</v>
      </c>
      <c r="G10" s="107" t="s">
        <v>1573</v>
      </c>
      <c r="H10" s="107" t="s">
        <v>1574</v>
      </c>
      <c r="I10" s="107" t="s">
        <v>1575</v>
      </c>
      <c r="J10" s="107" t="s">
        <v>1576</v>
      </c>
      <c r="K10" s="107" t="s">
        <v>1568</v>
      </c>
      <c r="L10" s="107" t="s">
        <v>1567</v>
      </c>
      <c r="M10" s="108" t="s">
        <v>1566</v>
      </c>
      <c r="N10" s="109" t="s">
        <v>1548</v>
      </c>
      <c r="O10" s="107" t="s">
        <v>1563</v>
      </c>
    </row>
    <row r="11" spans="1:15" ht="25.05" customHeight="1">
      <c r="A11" s="74" t="s">
        <v>1596</v>
      </c>
      <c r="B11" s="110">
        <f>使用電力量!L18</f>
        <v>143575</v>
      </c>
      <c r="C11" s="110">
        <f>使用電力量!M18</f>
        <v>149244</v>
      </c>
      <c r="D11" s="110">
        <f>使用電力量!B11</f>
        <v>135151</v>
      </c>
      <c r="E11" s="110">
        <f>使用電力量!C11</f>
        <v>121147</v>
      </c>
      <c r="F11" s="110">
        <f>使用電力量!D11</f>
        <v>148695</v>
      </c>
      <c r="G11" s="110">
        <f>使用電力量!E11</f>
        <v>180406</v>
      </c>
      <c r="H11" s="110">
        <f>使用電力量!F11</f>
        <v>229402</v>
      </c>
      <c r="I11" s="110">
        <f>使用電力量!G11</f>
        <v>189041</v>
      </c>
      <c r="J11" s="110">
        <f>使用電力量!H11</f>
        <v>135742</v>
      </c>
      <c r="K11" s="110">
        <f>使用電力量!I11</f>
        <v>130459</v>
      </c>
      <c r="L11" s="110">
        <f>使用電力量!J11</f>
        <v>151918</v>
      </c>
      <c r="M11" s="111">
        <f>使用電力量!K11</f>
        <v>150175</v>
      </c>
      <c r="N11" s="115">
        <f>SUM(B11:M11)</f>
        <v>1864955</v>
      </c>
      <c r="O11" s="116">
        <f>ROUND(AVERAGE(B11:M11),0)</f>
        <v>155413</v>
      </c>
    </row>
    <row r="12" spans="1:15" ht="25.05" customHeight="1">
      <c r="A12" s="74" t="s">
        <v>1527</v>
      </c>
      <c r="B12" s="112">
        <f>使用電力量!L19</f>
        <v>18.45</v>
      </c>
      <c r="C12" s="112">
        <f>使用電力量!M19</f>
        <v>18.45</v>
      </c>
      <c r="D12" s="112">
        <f>使用電力量!B12</f>
        <v>33.24</v>
      </c>
      <c r="E12" s="112">
        <f>使用電力量!C12</f>
        <v>33.24</v>
      </c>
      <c r="F12" s="112">
        <f>使用電力量!D12</f>
        <v>33.24</v>
      </c>
      <c r="G12" s="112">
        <f>使用電力量!E12</f>
        <v>33.24</v>
      </c>
      <c r="H12" s="112">
        <f>使用電力量!F12</f>
        <v>33.24</v>
      </c>
      <c r="I12" s="112">
        <f>使用電力量!G12</f>
        <v>33.24</v>
      </c>
      <c r="J12" s="112">
        <f>使用電力量!H12</f>
        <v>31.7</v>
      </c>
      <c r="K12" s="112">
        <f>使用電力量!I12</f>
        <v>31.7</v>
      </c>
      <c r="L12" s="112">
        <f>使用電力量!J12</f>
        <v>31.7</v>
      </c>
      <c r="M12" s="113">
        <f>使用電力量!K12</f>
        <v>31.7</v>
      </c>
      <c r="N12" s="115"/>
      <c r="O12" s="117">
        <f>ROUND(AVERAGE(B12:M12),2)</f>
        <v>30.26</v>
      </c>
    </row>
    <row r="13" spans="1:15" ht="25.05" customHeight="1">
      <c r="A13" s="74" t="s">
        <v>1564</v>
      </c>
      <c r="B13" s="112">
        <f>使用電力量!L20</f>
        <v>6.35</v>
      </c>
      <c r="C13" s="112">
        <f>使用電力量!M20</f>
        <v>5.8</v>
      </c>
      <c r="D13" s="112">
        <f>使用電力量!B13</f>
        <v>-5.38</v>
      </c>
      <c r="E13" s="112">
        <f>使用電力量!C13</f>
        <v>-7.03</v>
      </c>
      <c r="F13" s="112">
        <f>使用電力量!D13</f>
        <v>-9.14</v>
      </c>
      <c r="G13" s="112">
        <f>使用電力量!E13</f>
        <v>-10.92</v>
      </c>
      <c r="H13" s="112">
        <f>使用電力量!F13</f>
        <v>-12.31</v>
      </c>
      <c r="I13" s="112">
        <f>使用電力量!G13</f>
        <v>-13.19</v>
      </c>
      <c r="J13" s="112">
        <f>使用電力量!H13</f>
        <v>-11.95</v>
      </c>
      <c r="K13" s="112">
        <f>使用電力量!I13</f>
        <v>-12.11</v>
      </c>
      <c r="L13" s="112">
        <f>使用電力量!J13</f>
        <v>-12.01</v>
      </c>
      <c r="M13" s="113">
        <f>使用電力量!K13</f>
        <v>-11.77</v>
      </c>
      <c r="N13" s="115"/>
      <c r="O13" s="117">
        <f>ROUND(AVERAGE(B13:M13),2)</f>
        <v>-7.81</v>
      </c>
    </row>
    <row r="14" spans="1:15" ht="25.05" customHeight="1">
      <c r="A14" s="74" t="s">
        <v>1529</v>
      </c>
      <c r="B14" s="112">
        <f>使用電力量!L21</f>
        <v>3.45</v>
      </c>
      <c r="C14" s="112">
        <f>使用電力量!M21</f>
        <v>3.45</v>
      </c>
      <c r="D14" s="112">
        <f>使用電力量!B14</f>
        <v>3.45</v>
      </c>
      <c r="E14" s="112">
        <f>使用電力量!C14</f>
        <v>1.4</v>
      </c>
      <c r="F14" s="112">
        <f>使用電力量!D14</f>
        <v>1.4</v>
      </c>
      <c r="G14" s="112">
        <f>使用電力量!E14</f>
        <v>1.4</v>
      </c>
      <c r="H14" s="112">
        <f>使用電力量!F14</f>
        <v>1.4</v>
      </c>
      <c r="I14" s="112">
        <f>使用電力量!G14</f>
        <v>1.4</v>
      </c>
      <c r="J14" s="112">
        <f>使用電力量!H14</f>
        <v>1.4</v>
      </c>
      <c r="K14" s="112">
        <f>使用電力量!I14</f>
        <v>1.4</v>
      </c>
      <c r="L14" s="112">
        <f>使用電力量!J14</f>
        <v>1.4</v>
      </c>
      <c r="M14" s="113">
        <f>使用電力量!K14</f>
        <v>1.4</v>
      </c>
      <c r="N14" s="115"/>
      <c r="O14" s="117">
        <f>ROUND(AVERAGE(B14:M14),2)</f>
        <v>1.91</v>
      </c>
    </row>
    <row r="15" spans="1:15" ht="25.05" customHeight="1">
      <c r="A15" s="74" t="s">
        <v>1565</v>
      </c>
      <c r="B15" s="112">
        <f>使用電力量!L22</f>
        <v>28.249999999999996</v>
      </c>
      <c r="C15" s="112">
        <f>使用電力量!M22</f>
        <v>27.7</v>
      </c>
      <c r="D15" s="112">
        <f>使用電力量!B15</f>
        <v>31.310000000000002</v>
      </c>
      <c r="E15" s="112">
        <f>使用電力量!C15</f>
        <v>27.61</v>
      </c>
      <c r="F15" s="112">
        <f>使用電力量!D15</f>
        <v>25.5</v>
      </c>
      <c r="G15" s="112">
        <f>使用電力量!E15</f>
        <v>23.72</v>
      </c>
      <c r="H15" s="112">
        <f>使用電力量!F15</f>
        <v>22.33</v>
      </c>
      <c r="I15" s="112">
        <f>使用電力量!G15</f>
        <v>21.450000000000003</v>
      </c>
      <c r="J15" s="112">
        <f>使用電力量!H15</f>
        <v>21.15</v>
      </c>
      <c r="K15" s="112">
        <f>使用電力量!I15</f>
        <v>20.99</v>
      </c>
      <c r="L15" s="112">
        <f>使用電力量!J15</f>
        <v>21.089999999999996</v>
      </c>
      <c r="M15" s="113">
        <f>使用電力量!K15</f>
        <v>21.33</v>
      </c>
      <c r="N15" s="115"/>
      <c r="O15" s="117">
        <f t="shared" ref="O15" si="0">AVERAGE(B15:M15)</f>
        <v>24.369166666666668</v>
      </c>
    </row>
    <row r="16" spans="1:15" ht="25.05" customHeight="1">
      <c r="A16" s="7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ht="25.05" customHeight="1">
      <c r="A17" s="107"/>
      <c r="B17" s="107" t="s">
        <v>1589</v>
      </c>
      <c r="C17" s="107" t="s">
        <v>1581</v>
      </c>
      <c r="D17" s="107" t="s">
        <v>1582</v>
      </c>
      <c r="E17" s="107" t="s">
        <v>1583</v>
      </c>
      <c r="F17" s="107" t="s">
        <v>1584</v>
      </c>
      <c r="G17" s="107" t="s">
        <v>1585</v>
      </c>
      <c r="H17" s="107" t="s">
        <v>1586</v>
      </c>
      <c r="I17" s="107" t="s">
        <v>1587</v>
      </c>
      <c r="J17" s="107" t="s">
        <v>1588</v>
      </c>
      <c r="K17" s="107" t="s">
        <v>1580</v>
      </c>
      <c r="L17" s="107" t="s">
        <v>1579</v>
      </c>
      <c r="M17" s="108" t="s">
        <v>1578</v>
      </c>
      <c r="N17" s="109" t="s">
        <v>1548</v>
      </c>
      <c r="O17" s="107" t="s">
        <v>1563</v>
      </c>
    </row>
    <row r="18" spans="1:15" ht="25.05" customHeight="1">
      <c r="A18" s="74" t="s">
        <v>1596</v>
      </c>
      <c r="B18" s="110">
        <f>使用電力量!L25</f>
        <v>140095</v>
      </c>
      <c r="C18" s="110">
        <f>使用電力量!M25</f>
        <v>154788</v>
      </c>
      <c r="D18" s="110">
        <f>使用電力量!B18</f>
        <v>130001</v>
      </c>
      <c r="E18" s="110">
        <f>使用電力量!C18</f>
        <v>116405</v>
      </c>
      <c r="F18" s="110">
        <f>使用電力量!D18</f>
        <v>137376</v>
      </c>
      <c r="G18" s="110">
        <f>使用電力量!E18</f>
        <v>175277</v>
      </c>
      <c r="H18" s="110">
        <f>使用電力量!F18</f>
        <v>194918</v>
      </c>
      <c r="I18" s="110">
        <f>使用電力量!G18</f>
        <v>159259</v>
      </c>
      <c r="J18" s="110">
        <f>使用電力量!H18</f>
        <v>129977</v>
      </c>
      <c r="K18" s="110">
        <f>使用電力量!I18</f>
        <v>129223</v>
      </c>
      <c r="L18" s="110">
        <f>使用電力量!J18</f>
        <v>156106</v>
      </c>
      <c r="M18" s="111">
        <f>使用電力量!K18</f>
        <v>155160</v>
      </c>
      <c r="N18" s="115">
        <f>SUM(B18:M18)</f>
        <v>1778585</v>
      </c>
      <c r="O18" s="116">
        <f>ROUND(AVERAGE(B18:M18),0)</f>
        <v>148215</v>
      </c>
    </row>
    <row r="19" spans="1:15" ht="25.05" customHeight="1">
      <c r="A19" s="74" t="s">
        <v>1527</v>
      </c>
      <c r="B19" s="112">
        <f>使用電力量!L26</f>
        <v>17.27</v>
      </c>
      <c r="C19" s="112">
        <f>使用電力量!M26</f>
        <v>17.27</v>
      </c>
      <c r="D19" s="112">
        <f>使用電力量!B19</f>
        <v>17.27</v>
      </c>
      <c r="E19" s="112">
        <f>使用電力量!C19</f>
        <v>17.27</v>
      </c>
      <c r="F19" s="112">
        <f>使用電力量!D19</f>
        <v>18.45</v>
      </c>
      <c r="G19" s="112">
        <f>使用電力量!E19</f>
        <v>18.45</v>
      </c>
      <c r="H19" s="112">
        <f>使用電力量!F19</f>
        <v>18.45</v>
      </c>
      <c r="I19" s="112">
        <f>使用電力量!G19</f>
        <v>18.45</v>
      </c>
      <c r="J19" s="112">
        <f>使用電力量!H19</f>
        <v>18.45</v>
      </c>
      <c r="K19" s="112">
        <f>使用電力量!I19</f>
        <v>18.45</v>
      </c>
      <c r="L19" s="112">
        <f>使用電力量!J19</f>
        <v>18.45</v>
      </c>
      <c r="M19" s="113">
        <f>使用電力量!K19</f>
        <v>18.45</v>
      </c>
      <c r="N19" s="115"/>
      <c r="O19" s="117">
        <f t="shared" ref="O19" si="1">AVERAGE(B19:M19)</f>
        <v>18.056666666666661</v>
      </c>
    </row>
    <row r="20" spans="1:15" ht="25.05" customHeight="1">
      <c r="A20" s="74" t="s">
        <v>1564</v>
      </c>
      <c r="B20" s="112">
        <f>使用電力量!L27</f>
        <v>0.6</v>
      </c>
      <c r="C20" s="112">
        <f>使用電力量!M27</f>
        <v>1.1200000000000001</v>
      </c>
      <c r="D20" s="112">
        <f>使用電力量!B20</f>
        <v>1.34</v>
      </c>
      <c r="E20" s="112">
        <f>使用電力量!C20</f>
        <v>1.49</v>
      </c>
      <c r="F20" s="112">
        <f>使用電力量!D20</f>
        <v>1.85</v>
      </c>
      <c r="G20" s="112">
        <f>使用電力量!E20</f>
        <v>3.1</v>
      </c>
      <c r="H20" s="112">
        <f>使用電力量!F20</f>
        <v>4.55</v>
      </c>
      <c r="I20" s="112">
        <f>使用電力量!G20</f>
        <v>6.54</v>
      </c>
      <c r="J20" s="112">
        <f>使用電力量!H20</f>
        <v>8.0500000000000007</v>
      </c>
      <c r="K20" s="112">
        <f>使用電力量!I20</f>
        <v>8.94</v>
      </c>
      <c r="L20" s="112">
        <f>使用電力量!J20</f>
        <v>9.36</v>
      </c>
      <c r="M20" s="113">
        <f>使用電力量!K20</f>
        <v>9.51</v>
      </c>
      <c r="N20" s="115"/>
      <c r="O20" s="117">
        <f>ROUND(AVERAGE(B20:M20),2)</f>
        <v>4.7</v>
      </c>
    </row>
    <row r="21" spans="1:15" ht="25.05" customHeight="1">
      <c r="A21" s="74" t="s">
        <v>1529</v>
      </c>
      <c r="B21" s="112">
        <f>使用電力量!L28</f>
        <v>3.36</v>
      </c>
      <c r="C21" s="112">
        <f>使用電力量!M28</f>
        <v>3.36</v>
      </c>
      <c r="D21" s="112">
        <f>使用電力量!B21</f>
        <v>3.36</v>
      </c>
      <c r="E21" s="112">
        <f>使用電力量!C21</f>
        <v>3.45</v>
      </c>
      <c r="F21" s="112">
        <f>使用電力量!D21</f>
        <v>3.45</v>
      </c>
      <c r="G21" s="112">
        <f>使用電力量!E21</f>
        <v>3.45</v>
      </c>
      <c r="H21" s="112">
        <f>使用電力量!F21</f>
        <v>3.45</v>
      </c>
      <c r="I21" s="112">
        <f>使用電力量!G21</f>
        <v>3.45</v>
      </c>
      <c r="J21" s="112">
        <f>使用電力量!H21</f>
        <v>3.45</v>
      </c>
      <c r="K21" s="112">
        <f>使用電力量!I21</f>
        <v>3.45</v>
      </c>
      <c r="L21" s="112">
        <f>使用電力量!J21</f>
        <v>3.45</v>
      </c>
      <c r="M21" s="113">
        <f>使用電力量!K21</f>
        <v>3.45</v>
      </c>
      <c r="N21" s="115"/>
      <c r="O21" s="117">
        <f>ROUND(AVERAGE(B21:M21),2)</f>
        <v>3.43</v>
      </c>
    </row>
    <row r="22" spans="1:15" ht="25.05" customHeight="1">
      <c r="A22" s="74" t="s">
        <v>1565</v>
      </c>
      <c r="B22" s="112">
        <f>使用電力量!L29</f>
        <v>21.23</v>
      </c>
      <c r="C22" s="112">
        <f>使用電力量!M29</f>
        <v>21.75</v>
      </c>
      <c r="D22" s="112">
        <f>使用電力量!B22</f>
        <v>21.97</v>
      </c>
      <c r="E22" s="112">
        <f>使用電力量!C22</f>
        <v>22.209999999999997</v>
      </c>
      <c r="F22" s="112">
        <f>使用電力量!D22</f>
        <v>23.75</v>
      </c>
      <c r="G22" s="112">
        <f>使用電力量!E22</f>
        <v>25</v>
      </c>
      <c r="H22" s="112">
        <f>使用電力量!F22</f>
        <v>26.45</v>
      </c>
      <c r="I22" s="112">
        <f>使用電力量!G22</f>
        <v>28.439999999999998</v>
      </c>
      <c r="J22" s="112">
        <f>使用電力量!H22</f>
        <v>29.95</v>
      </c>
      <c r="K22" s="112">
        <f>使用電力量!I22</f>
        <v>30.84</v>
      </c>
      <c r="L22" s="112">
        <f>使用電力量!J22</f>
        <v>31.259999999999998</v>
      </c>
      <c r="M22" s="113">
        <f>使用電力量!K22</f>
        <v>31.41</v>
      </c>
      <c r="N22" s="115"/>
      <c r="O22" s="117">
        <f>ROUND(AVERAGE(B22:M22),2)</f>
        <v>26.19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B705-907F-4E21-B1B8-33810E8345AE}">
  <sheetPr>
    <tabColor rgb="FF00B050"/>
  </sheetPr>
  <dimension ref="A1:F153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120" sqref="F120"/>
    </sheetView>
  </sheetViews>
  <sheetFormatPr defaultRowHeight="17.649999999999999"/>
  <cols>
    <col min="1" max="1" width="4.875" customWidth="1"/>
    <col min="2" max="2" width="41.125" hidden="1" customWidth="1"/>
    <col min="3" max="3" width="17.125" customWidth="1"/>
    <col min="4" max="4" width="5.9375" bestFit="1" customWidth="1"/>
    <col min="5" max="5" width="30.125" customWidth="1"/>
    <col min="6" max="6" width="13.5625" bestFit="1" customWidth="1"/>
  </cols>
  <sheetData>
    <row r="1" spans="1:6">
      <c r="A1" s="85" t="s">
        <v>1603</v>
      </c>
    </row>
    <row r="2" spans="1:6">
      <c r="A2" s="85"/>
    </row>
    <row r="3" spans="1:6">
      <c r="A3" s="88" t="s">
        <v>1500</v>
      </c>
      <c r="B3" s="92" t="s">
        <v>1512</v>
      </c>
      <c r="C3" s="92" t="s">
        <v>621</v>
      </c>
      <c r="D3" s="92" t="s">
        <v>3</v>
      </c>
      <c r="E3" s="92" t="s">
        <v>622</v>
      </c>
      <c r="F3" s="92" t="s">
        <v>623</v>
      </c>
    </row>
    <row r="4" spans="1:6">
      <c r="A4" s="88">
        <v>1</v>
      </c>
      <c r="B4" s="88" t="str">
        <f t="shared" ref="B4:B8" si="0">C4&amp;D4&amp;E4</f>
        <v>NH360W1NH360投光器</v>
      </c>
      <c r="C4" s="93" t="s">
        <v>466</v>
      </c>
      <c r="D4" s="94">
        <v>1</v>
      </c>
      <c r="E4" s="95" t="s">
        <v>461</v>
      </c>
      <c r="F4" s="88">
        <v>360</v>
      </c>
    </row>
    <row r="5" spans="1:6">
      <c r="A5" s="88">
        <v>2</v>
      </c>
      <c r="B5" s="88" t="str">
        <f t="shared" si="0"/>
        <v>HF40W1HF40ｶﾞｰﾃﾞﾝライト</v>
      </c>
      <c r="C5" s="93" t="s">
        <v>467</v>
      </c>
      <c r="D5" s="94">
        <v>1</v>
      </c>
      <c r="E5" s="95" t="s">
        <v>462</v>
      </c>
      <c r="F5" s="88">
        <v>40</v>
      </c>
    </row>
    <row r="6" spans="1:6">
      <c r="A6" s="88">
        <v>3</v>
      </c>
      <c r="B6" s="88" t="str">
        <f t="shared" si="0"/>
        <v>IL100W1足元灯</v>
      </c>
      <c r="C6" s="93" t="s">
        <v>444</v>
      </c>
      <c r="D6" s="94">
        <v>1</v>
      </c>
      <c r="E6" s="95" t="s">
        <v>463</v>
      </c>
      <c r="F6" s="88">
        <v>100</v>
      </c>
    </row>
    <row r="7" spans="1:6">
      <c r="A7" s="88">
        <v>4</v>
      </c>
      <c r="B7" s="88" t="str">
        <f t="shared" si="0"/>
        <v>HF250W1HF250外灯　丸(要ポール更新)</v>
      </c>
      <c r="C7" s="93" t="s">
        <v>468</v>
      </c>
      <c r="D7" s="94">
        <v>1</v>
      </c>
      <c r="E7" s="95" t="s">
        <v>1608</v>
      </c>
      <c r="F7" s="88">
        <v>250</v>
      </c>
    </row>
    <row r="8" spans="1:6">
      <c r="A8" s="88">
        <v>5</v>
      </c>
      <c r="B8" s="88" t="str">
        <f t="shared" si="0"/>
        <v>HF250W22灯式駐車場灯</v>
      </c>
      <c r="C8" s="93" t="s">
        <v>468</v>
      </c>
      <c r="D8" s="94">
        <v>2</v>
      </c>
      <c r="E8" s="95" t="s">
        <v>465</v>
      </c>
      <c r="F8" s="88">
        <v>500</v>
      </c>
    </row>
    <row r="9" spans="1:6">
      <c r="A9" s="88">
        <v>6</v>
      </c>
      <c r="B9" s="88" t="str">
        <f t="shared" ref="B9:B40" si="1">C9&amp;D9&amp;E9</f>
        <v>15W1ミラー灯</v>
      </c>
      <c r="C9" s="96" t="s">
        <v>374</v>
      </c>
      <c r="D9" s="97">
        <v>1</v>
      </c>
      <c r="E9" s="92" t="s">
        <v>375</v>
      </c>
      <c r="F9" s="92">
        <v>23</v>
      </c>
    </row>
    <row r="10" spans="1:6">
      <c r="A10" s="88">
        <v>7</v>
      </c>
      <c r="B10" s="88" t="str">
        <f t="shared" si="1"/>
        <v>CF2.2W1誘導灯C級片面</v>
      </c>
      <c r="C10" s="92" t="s">
        <v>97</v>
      </c>
      <c r="D10" s="97">
        <v>1</v>
      </c>
      <c r="E10" s="92" t="s">
        <v>594</v>
      </c>
      <c r="F10" s="92">
        <v>4</v>
      </c>
    </row>
    <row r="11" spans="1:6">
      <c r="A11" s="88">
        <v>8</v>
      </c>
      <c r="B11" s="88" t="str">
        <f t="shared" si="1"/>
        <v>CF2.2W1誘導灯C級両面</v>
      </c>
      <c r="C11" s="92" t="s">
        <v>97</v>
      </c>
      <c r="D11" s="97">
        <v>1</v>
      </c>
      <c r="E11" s="92" t="s">
        <v>595</v>
      </c>
      <c r="F11" s="92">
        <v>7</v>
      </c>
    </row>
    <row r="12" spans="1:6">
      <c r="A12" s="88">
        <v>9</v>
      </c>
      <c r="B12" s="88" t="str">
        <f t="shared" si="1"/>
        <v>CF2W1誘導灯C級片面</v>
      </c>
      <c r="C12" s="92" t="s">
        <v>98</v>
      </c>
      <c r="D12" s="97">
        <v>1</v>
      </c>
      <c r="E12" s="92" t="s">
        <v>594</v>
      </c>
      <c r="F12" s="92">
        <v>4</v>
      </c>
    </row>
    <row r="13" spans="1:6">
      <c r="A13" s="88">
        <v>10</v>
      </c>
      <c r="B13" s="88" t="str">
        <f t="shared" si="1"/>
        <v>CF3W1誘導灯B級BL片面</v>
      </c>
      <c r="C13" s="92" t="s">
        <v>224</v>
      </c>
      <c r="D13" s="97">
        <v>1</v>
      </c>
      <c r="E13" s="92" t="s">
        <v>596</v>
      </c>
      <c r="F13" s="92">
        <v>6</v>
      </c>
    </row>
    <row r="14" spans="1:6">
      <c r="A14" s="88">
        <v>11</v>
      </c>
      <c r="B14" s="88" t="str">
        <f t="shared" si="1"/>
        <v>CF3W1誘導灯B級BH片面</v>
      </c>
      <c r="C14" s="92" t="s">
        <v>224</v>
      </c>
      <c r="D14" s="97">
        <v>1</v>
      </c>
      <c r="E14" s="92" t="s">
        <v>597</v>
      </c>
      <c r="F14" s="92">
        <v>6</v>
      </c>
    </row>
    <row r="15" spans="1:6">
      <c r="A15" s="88">
        <v>12</v>
      </c>
      <c r="B15" s="88" t="str">
        <f t="shared" si="1"/>
        <v>FHF16W1片反射笠付（高出力）</v>
      </c>
      <c r="C15" s="96" t="s">
        <v>19</v>
      </c>
      <c r="D15" s="97">
        <v>1</v>
      </c>
      <c r="E15" s="92" t="s">
        <v>439</v>
      </c>
      <c r="F15" s="92">
        <v>26</v>
      </c>
    </row>
    <row r="16" spans="1:6">
      <c r="A16" s="88">
        <v>13</v>
      </c>
      <c r="B16" s="88" t="str">
        <f t="shared" si="1"/>
        <v>FHF16W1笠付（高出力）</v>
      </c>
      <c r="C16" s="96" t="s">
        <v>19</v>
      </c>
      <c r="D16" s="97">
        <v>1</v>
      </c>
      <c r="E16" s="92" t="s">
        <v>336</v>
      </c>
      <c r="F16" s="92">
        <v>26</v>
      </c>
    </row>
    <row r="17" spans="1:6">
      <c r="A17" s="88">
        <v>14</v>
      </c>
      <c r="B17" s="88" t="str">
        <f t="shared" si="1"/>
        <v>FHF16W2逆富士（高出力）</v>
      </c>
      <c r="C17" s="96" t="s">
        <v>19</v>
      </c>
      <c r="D17" s="97">
        <v>2</v>
      </c>
      <c r="E17" s="92" t="s">
        <v>254</v>
      </c>
      <c r="F17" s="92">
        <v>50</v>
      </c>
    </row>
    <row r="18" spans="1:6">
      <c r="A18" s="88">
        <v>15</v>
      </c>
      <c r="B18" s="88" t="str">
        <f t="shared" si="1"/>
        <v>FHF16W1埋込　高出力</v>
      </c>
      <c r="C18" s="96" t="s">
        <v>19</v>
      </c>
      <c r="D18" s="97">
        <v>1</v>
      </c>
      <c r="E18" s="92" t="s">
        <v>335</v>
      </c>
      <c r="F18" s="92">
        <v>26</v>
      </c>
    </row>
    <row r="19" spans="1:6">
      <c r="A19" s="88">
        <v>16</v>
      </c>
      <c r="B19" s="88" t="str">
        <f t="shared" si="1"/>
        <v>FHF16W2埋込　高出力</v>
      </c>
      <c r="C19" s="96" t="s">
        <v>19</v>
      </c>
      <c r="D19" s="97">
        <v>2</v>
      </c>
      <c r="E19" s="92" t="s">
        <v>335</v>
      </c>
      <c r="F19" s="92">
        <v>52</v>
      </c>
    </row>
    <row r="20" spans="1:6">
      <c r="A20" s="88">
        <v>17</v>
      </c>
      <c r="B20" s="88" t="str">
        <f t="shared" si="1"/>
        <v>FHF16W1埋込W　高出力</v>
      </c>
      <c r="C20" s="96" t="s">
        <v>19</v>
      </c>
      <c r="D20" s="97">
        <v>1</v>
      </c>
      <c r="E20" s="92" t="s">
        <v>307</v>
      </c>
      <c r="F20" s="92">
        <v>26</v>
      </c>
    </row>
    <row r="21" spans="1:6">
      <c r="A21" s="88">
        <v>18</v>
      </c>
      <c r="B21" s="88" t="str">
        <f t="shared" si="1"/>
        <v>FHF16W2システム天井</v>
      </c>
      <c r="C21" s="96" t="s">
        <v>19</v>
      </c>
      <c r="D21" s="97">
        <v>2</v>
      </c>
      <c r="E21" s="92" t="s">
        <v>305</v>
      </c>
      <c r="F21" s="92">
        <v>26</v>
      </c>
    </row>
    <row r="22" spans="1:6">
      <c r="A22" s="88">
        <v>19</v>
      </c>
      <c r="B22" s="88" t="str">
        <f t="shared" si="1"/>
        <v>FHF16W2システム天井</v>
      </c>
      <c r="C22" s="96" t="s">
        <v>19</v>
      </c>
      <c r="D22" s="97">
        <v>2</v>
      </c>
      <c r="E22" s="92" t="s">
        <v>305</v>
      </c>
      <c r="F22" s="92">
        <v>38</v>
      </c>
    </row>
    <row r="23" spans="1:6">
      <c r="A23" s="88">
        <v>20</v>
      </c>
      <c r="B23" s="88" t="str">
        <f t="shared" si="1"/>
        <v>FHF16W1システム天井</v>
      </c>
      <c r="C23" s="96" t="s">
        <v>19</v>
      </c>
      <c r="D23" s="97">
        <v>1</v>
      </c>
      <c r="E23" s="96" t="s">
        <v>281</v>
      </c>
      <c r="F23" s="98">
        <v>38</v>
      </c>
    </row>
    <row r="24" spans="1:6">
      <c r="A24" s="88">
        <v>21</v>
      </c>
      <c r="B24" s="88" t="str">
        <f t="shared" si="1"/>
        <v>FHF16W1片反射笠付(高出力)</v>
      </c>
      <c r="C24" s="92" t="s">
        <v>19</v>
      </c>
      <c r="D24" s="97">
        <v>1</v>
      </c>
      <c r="E24" s="92" t="s">
        <v>30</v>
      </c>
      <c r="F24" s="92">
        <v>26</v>
      </c>
    </row>
    <row r="25" spans="1:6">
      <c r="A25" s="88">
        <v>22</v>
      </c>
      <c r="B25" s="88" t="str">
        <f t="shared" si="1"/>
        <v>FHF16W1トラフ</v>
      </c>
      <c r="C25" s="92" t="s">
        <v>19</v>
      </c>
      <c r="D25" s="97">
        <v>1</v>
      </c>
      <c r="E25" s="92" t="s">
        <v>89</v>
      </c>
      <c r="F25" s="92">
        <v>26</v>
      </c>
    </row>
    <row r="26" spans="1:6">
      <c r="A26" s="88">
        <v>23</v>
      </c>
      <c r="B26" s="88" t="str">
        <f t="shared" si="1"/>
        <v>FHF16W1埋込W150　高出力</v>
      </c>
      <c r="C26" s="92" t="s">
        <v>19</v>
      </c>
      <c r="D26" s="97">
        <v>1</v>
      </c>
      <c r="E26" s="92" t="s">
        <v>525</v>
      </c>
      <c r="F26" s="92">
        <v>26</v>
      </c>
    </row>
    <row r="27" spans="1:6">
      <c r="A27" s="88">
        <v>24</v>
      </c>
      <c r="B27" s="88" t="str">
        <f t="shared" si="1"/>
        <v>FHF16W1トラフ　高出力</v>
      </c>
      <c r="C27" s="92" t="s">
        <v>19</v>
      </c>
      <c r="D27" s="97">
        <v>1</v>
      </c>
      <c r="E27" s="92" t="s">
        <v>528</v>
      </c>
      <c r="F27" s="92">
        <v>26</v>
      </c>
    </row>
    <row r="28" spans="1:6">
      <c r="A28" s="88">
        <v>25</v>
      </c>
      <c r="B28" s="88" t="str">
        <f t="shared" si="1"/>
        <v>FHF16W1トラフ(高出力)</v>
      </c>
      <c r="C28" s="92" t="s">
        <v>19</v>
      </c>
      <c r="D28" s="97">
        <v>1</v>
      </c>
      <c r="E28" s="92" t="s">
        <v>531</v>
      </c>
      <c r="F28" s="92">
        <v>26</v>
      </c>
    </row>
    <row r="29" spans="1:6">
      <c r="A29" s="88">
        <v>26</v>
      </c>
      <c r="B29" s="88" t="str">
        <f t="shared" si="1"/>
        <v>FHF16W2システム天井</v>
      </c>
      <c r="C29" s="92" t="s">
        <v>19</v>
      </c>
      <c r="D29" s="97">
        <v>2</v>
      </c>
      <c r="E29" s="92" t="s">
        <v>56</v>
      </c>
      <c r="F29" s="92">
        <v>72</v>
      </c>
    </row>
    <row r="30" spans="1:6">
      <c r="A30" s="88">
        <v>27</v>
      </c>
      <c r="B30" s="88" t="str">
        <f t="shared" si="1"/>
        <v>FHF16W1埋込　高出力</v>
      </c>
      <c r="C30" s="92" t="s">
        <v>19</v>
      </c>
      <c r="D30" s="97">
        <v>1</v>
      </c>
      <c r="E30" s="92" t="s">
        <v>570</v>
      </c>
      <c r="F30" s="92">
        <v>26</v>
      </c>
    </row>
    <row r="31" spans="1:6">
      <c r="A31" s="88">
        <v>28</v>
      </c>
      <c r="B31" s="88" t="str">
        <f t="shared" si="1"/>
        <v>FHF16W1片反射笠付(高出力)</v>
      </c>
      <c r="C31" s="92" t="s">
        <v>19</v>
      </c>
      <c r="D31" s="97">
        <v>1</v>
      </c>
      <c r="E31" s="92" t="s">
        <v>506</v>
      </c>
      <c r="F31" s="92">
        <v>26</v>
      </c>
    </row>
    <row r="32" spans="1:6">
      <c r="A32" s="88">
        <v>29</v>
      </c>
      <c r="B32" s="88" t="str">
        <f t="shared" si="1"/>
        <v>FHF16W1逆富士（高出力）</v>
      </c>
      <c r="C32" s="96" t="s">
        <v>19</v>
      </c>
      <c r="D32" s="97">
        <v>1</v>
      </c>
      <c r="E32" s="92" t="s">
        <v>254</v>
      </c>
      <c r="F32" s="92">
        <v>26</v>
      </c>
    </row>
    <row r="33" spans="1:6">
      <c r="A33" s="88">
        <v>30</v>
      </c>
      <c r="B33" s="88" t="str">
        <f t="shared" si="1"/>
        <v>FHF32W2埋込W300</v>
      </c>
      <c r="C33" s="96" t="s">
        <v>21</v>
      </c>
      <c r="D33" s="97">
        <v>2</v>
      </c>
      <c r="E33" s="92" t="s">
        <v>308</v>
      </c>
      <c r="F33" s="92">
        <v>71</v>
      </c>
    </row>
    <row r="34" spans="1:6">
      <c r="A34" s="88">
        <v>31</v>
      </c>
      <c r="B34" s="88" t="str">
        <f t="shared" si="1"/>
        <v>FHF32W1階段灯　非常灯付</v>
      </c>
      <c r="C34" s="96" t="s">
        <v>21</v>
      </c>
      <c r="D34" s="97">
        <v>1</v>
      </c>
      <c r="E34" s="92" t="s">
        <v>551</v>
      </c>
      <c r="F34" s="92">
        <v>36</v>
      </c>
    </row>
    <row r="35" spans="1:6">
      <c r="A35" s="88">
        <v>32</v>
      </c>
      <c r="B35" s="88" t="str">
        <f t="shared" si="1"/>
        <v>FHF32W1逆富士</v>
      </c>
      <c r="C35" s="96" t="s">
        <v>21</v>
      </c>
      <c r="D35" s="97">
        <v>1</v>
      </c>
      <c r="E35" s="92" t="s">
        <v>301</v>
      </c>
      <c r="F35" s="92">
        <v>36</v>
      </c>
    </row>
    <row r="36" spans="1:6">
      <c r="A36" s="88">
        <v>33</v>
      </c>
      <c r="B36" s="88" t="str">
        <f t="shared" si="1"/>
        <v>FHF32W1埋込W190</v>
      </c>
      <c r="C36" s="96" t="s">
        <v>384</v>
      </c>
      <c r="D36" s="97">
        <v>1</v>
      </c>
      <c r="E36" s="92" t="s">
        <v>302</v>
      </c>
      <c r="F36" s="92">
        <v>36</v>
      </c>
    </row>
    <row r="37" spans="1:6">
      <c r="A37" s="88">
        <v>34</v>
      </c>
      <c r="B37" s="88" t="str">
        <f t="shared" si="1"/>
        <v>FHF32W1トラフ</v>
      </c>
      <c r="C37" s="96" t="s">
        <v>21</v>
      </c>
      <c r="D37" s="97">
        <v>1</v>
      </c>
      <c r="E37" s="92" t="s">
        <v>89</v>
      </c>
      <c r="F37" s="92">
        <v>36</v>
      </c>
    </row>
    <row r="38" spans="1:6">
      <c r="A38" s="88">
        <v>35</v>
      </c>
      <c r="B38" s="88" t="str">
        <f t="shared" si="1"/>
        <v>FHF32W1笠付</v>
      </c>
      <c r="C38" s="96" t="s">
        <v>21</v>
      </c>
      <c r="D38" s="97">
        <v>1</v>
      </c>
      <c r="E38" s="92" t="s">
        <v>251</v>
      </c>
      <c r="F38" s="92">
        <v>36</v>
      </c>
    </row>
    <row r="39" spans="1:6">
      <c r="A39" s="88">
        <v>36</v>
      </c>
      <c r="B39" s="88" t="str">
        <f t="shared" si="1"/>
        <v>FHF32W2笠付</v>
      </c>
      <c r="C39" s="96" t="s">
        <v>21</v>
      </c>
      <c r="D39" s="97">
        <v>2</v>
      </c>
      <c r="E39" s="92" t="s">
        <v>251</v>
      </c>
      <c r="F39" s="92">
        <v>36</v>
      </c>
    </row>
    <row r="40" spans="1:6">
      <c r="A40" s="88">
        <v>37</v>
      </c>
      <c r="B40" s="88" t="str">
        <f t="shared" si="1"/>
        <v>FHF32W1片反射笠付</v>
      </c>
      <c r="C40" s="96" t="s">
        <v>21</v>
      </c>
      <c r="D40" s="97">
        <v>1</v>
      </c>
      <c r="E40" s="92" t="s">
        <v>253</v>
      </c>
      <c r="F40" s="92">
        <v>36</v>
      </c>
    </row>
    <row r="41" spans="1:6">
      <c r="A41" s="88">
        <v>38</v>
      </c>
      <c r="B41" s="88" t="str">
        <f t="shared" ref="B41:B72" si="2">C41&amp;D41&amp;E41</f>
        <v>FHF32W1笠付　チェーン吊</v>
      </c>
      <c r="C41" s="96" t="s">
        <v>21</v>
      </c>
      <c r="D41" s="97">
        <v>1</v>
      </c>
      <c r="E41" s="92" t="s">
        <v>459</v>
      </c>
      <c r="F41" s="92">
        <v>36</v>
      </c>
    </row>
    <row r="42" spans="1:6">
      <c r="A42" s="88">
        <v>39</v>
      </c>
      <c r="B42" s="88" t="str">
        <f t="shared" si="2"/>
        <v>FHF32W2埋込下面開放</v>
      </c>
      <c r="C42" s="96" t="s">
        <v>384</v>
      </c>
      <c r="D42" s="97">
        <v>2</v>
      </c>
      <c r="E42" s="92" t="s">
        <v>377</v>
      </c>
      <c r="F42" s="92">
        <v>72</v>
      </c>
    </row>
    <row r="43" spans="1:6">
      <c r="A43" s="88">
        <v>40</v>
      </c>
      <c r="B43" s="88" t="str">
        <f t="shared" si="2"/>
        <v>FHF32W1埋込下面開放</v>
      </c>
      <c r="C43" s="96" t="s">
        <v>384</v>
      </c>
      <c r="D43" s="97">
        <v>1</v>
      </c>
      <c r="E43" s="92" t="s">
        <v>377</v>
      </c>
      <c r="F43" s="92">
        <v>36</v>
      </c>
    </row>
    <row r="44" spans="1:6">
      <c r="A44" s="88">
        <v>41</v>
      </c>
      <c r="B44" s="88" t="str">
        <f t="shared" si="2"/>
        <v>FHF32W2笠付</v>
      </c>
      <c r="C44" s="96" t="s">
        <v>21</v>
      </c>
      <c r="D44" s="97">
        <v>2</v>
      </c>
      <c r="E44" s="92" t="s">
        <v>251</v>
      </c>
      <c r="F44" s="92">
        <v>72</v>
      </c>
    </row>
    <row r="45" spans="1:6">
      <c r="A45" s="88">
        <v>42</v>
      </c>
      <c r="B45" s="88" t="str">
        <f t="shared" si="2"/>
        <v>FHF32W2埋込W300</v>
      </c>
      <c r="C45" s="96" t="s">
        <v>21</v>
      </c>
      <c r="D45" s="97">
        <v>2</v>
      </c>
      <c r="E45" s="92" t="s">
        <v>308</v>
      </c>
      <c r="F45" s="92">
        <v>72</v>
      </c>
    </row>
    <row r="46" spans="1:6">
      <c r="A46" s="88">
        <v>43</v>
      </c>
      <c r="B46" s="88" t="str">
        <f t="shared" si="2"/>
        <v>FHF32W2反射笠付　防湿型</v>
      </c>
      <c r="C46" s="96" t="s">
        <v>21</v>
      </c>
      <c r="D46" s="97">
        <v>2</v>
      </c>
      <c r="E46" s="92" t="s">
        <v>591</v>
      </c>
      <c r="F46" s="92">
        <v>72</v>
      </c>
    </row>
    <row r="47" spans="1:6">
      <c r="A47" s="88">
        <v>44</v>
      </c>
      <c r="B47" s="88" t="str">
        <f t="shared" si="2"/>
        <v>FHF32W1反射笠付　防湿型</v>
      </c>
      <c r="C47" s="96" t="s">
        <v>21</v>
      </c>
      <c r="D47" s="97">
        <v>1</v>
      </c>
      <c r="E47" s="92" t="s">
        <v>591</v>
      </c>
      <c r="F47" s="92">
        <v>36</v>
      </c>
    </row>
    <row r="48" spans="1:6">
      <c r="A48" s="88">
        <v>45</v>
      </c>
      <c r="B48" s="88" t="str">
        <f t="shared" si="2"/>
        <v>FHF32W1片反射傘　防湿型</v>
      </c>
      <c r="C48" s="96" t="s">
        <v>21</v>
      </c>
      <c r="D48" s="97">
        <v>1</v>
      </c>
      <c r="E48" s="92" t="s">
        <v>592</v>
      </c>
      <c r="F48" s="92">
        <v>36</v>
      </c>
    </row>
    <row r="49" spans="1:6">
      <c r="A49" s="88">
        <v>46</v>
      </c>
      <c r="B49" s="88" t="str">
        <f t="shared" si="2"/>
        <v>FHF32W1トラフ　防湿型</v>
      </c>
      <c r="C49" s="96" t="s">
        <v>21</v>
      </c>
      <c r="D49" s="97">
        <v>1</v>
      </c>
      <c r="E49" s="92" t="s">
        <v>593</v>
      </c>
      <c r="F49" s="92">
        <v>36</v>
      </c>
    </row>
    <row r="50" spans="1:6">
      <c r="A50" s="88">
        <v>47</v>
      </c>
      <c r="B50" s="88" t="str">
        <f t="shared" si="2"/>
        <v>FHF32W2埋込</v>
      </c>
      <c r="C50" s="96" t="s">
        <v>21</v>
      </c>
      <c r="D50" s="97">
        <v>2</v>
      </c>
      <c r="E50" s="92" t="s">
        <v>556</v>
      </c>
      <c r="F50" s="92">
        <v>72</v>
      </c>
    </row>
    <row r="51" spans="1:6">
      <c r="A51" s="88">
        <v>48</v>
      </c>
      <c r="B51" s="88" t="str">
        <f t="shared" si="2"/>
        <v>FHF32W3埋込</v>
      </c>
      <c r="C51" s="96" t="s">
        <v>21</v>
      </c>
      <c r="D51" s="97">
        <v>3</v>
      </c>
      <c r="E51" s="92" t="s">
        <v>450</v>
      </c>
      <c r="F51" s="92">
        <v>108</v>
      </c>
    </row>
    <row r="52" spans="1:6">
      <c r="A52" s="88">
        <v>49</v>
      </c>
      <c r="B52" s="88" t="str">
        <f t="shared" si="2"/>
        <v>FHF32W2直付器具</v>
      </c>
      <c r="C52" s="96" t="s">
        <v>21</v>
      </c>
      <c r="D52" s="97">
        <v>2</v>
      </c>
      <c r="E52" s="92" t="s">
        <v>447</v>
      </c>
      <c r="F52" s="92">
        <v>72</v>
      </c>
    </row>
    <row r="53" spans="1:6">
      <c r="A53" s="88">
        <v>50</v>
      </c>
      <c r="B53" s="88" t="str">
        <f t="shared" si="2"/>
        <v>FHF32W1ブラケット</v>
      </c>
      <c r="C53" s="96" t="s">
        <v>21</v>
      </c>
      <c r="D53" s="97">
        <v>1</v>
      </c>
      <c r="E53" s="92" t="s">
        <v>12</v>
      </c>
      <c r="F53" s="92">
        <v>36</v>
      </c>
    </row>
    <row r="54" spans="1:6">
      <c r="A54" s="88">
        <v>51</v>
      </c>
      <c r="B54" s="88" t="str">
        <f t="shared" si="2"/>
        <v>FHF32W2システム天井</v>
      </c>
      <c r="C54" s="96" t="s">
        <v>21</v>
      </c>
      <c r="D54" s="97">
        <v>2</v>
      </c>
      <c r="E54" s="92" t="s">
        <v>305</v>
      </c>
      <c r="F54" s="92">
        <v>72</v>
      </c>
    </row>
    <row r="55" spans="1:6">
      <c r="A55" s="88">
        <v>52</v>
      </c>
      <c r="B55" s="88" t="str">
        <f t="shared" si="2"/>
        <v>FHF32W2直付開放</v>
      </c>
      <c r="C55" s="96" t="s">
        <v>384</v>
      </c>
      <c r="D55" s="97">
        <v>2</v>
      </c>
      <c r="E55" s="92" t="s">
        <v>376</v>
      </c>
      <c r="F55" s="92">
        <v>72</v>
      </c>
    </row>
    <row r="56" spans="1:6">
      <c r="A56" s="88">
        <v>53</v>
      </c>
      <c r="B56" s="88" t="str">
        <f t="shared" si="2"/>
        <v>FHF32W2逆富士</v>
      </c>
      <c r="C56" s="96" t="s">
        <v>21</v>
      </c>
      <c r="D56" s="97">
        <v>2</v>
      </c>
      <c r="E56" s="92" t="s">
        <v>301</v>
      </c>
      <c r="F56" s="92">
        <v>72</v>
      </c>
    </row>
    <row r="57" spans="1:6">
      <c r="A57" s="88">
        <v>54</v>
      </c>
      <c r="B57" s="88" t="str">
        <f t="shared" si="2"/>
        <v>FHF32W2直付下面開放</v>
      </c>
      <c r="C57" s="96" t="s">
        <v>384</v>
      </c>
      <c r="D57" s="97">
        <v>2</v>
      </c>
      <c r="E57" s="92" t="s">
        <v>378</v>
      </c>
      <c r="F57" s="92">
        <v>72</v>
      </c>
    </row>
    <row r="58" spans="1:6">
      <c r="A58" s="88">
        <v>55</v>
      </c>
      <c r="B58" s="88" t="str">
        <f t="shared" si="2"/>
        <v>FHF32W6スクエア</v>
      </c>
      <c r="C58" s="96" t="s">
        <v>21</v>
      </c>
      <c r="D58" s="97">
        <v>6</v>
      </c>
      <c r="E58" s="92" t="s">
        <v>379</v>
      </c>
      <c r="F58" s="92">
        <v>213</v>
      </c>
    </row>
    <row r="59" spans="1:6">
      <c r="A59" s="88">
        <v>56</v>
      </c>
      <c r="B59" s="88" t="str">
        <f t="shared" si="2"/>
        <v>FHF32W2表示灯</v>
      </c>
      <c r="C59" s="96" t="s">
        <v>21</v>
      </c>
      <c r="D59" s="97">
        <v>2</v>
      </c>
      <c r="E59" s="96" t="s">
        <v>165</v>
      </c>
      <c r="F59" s="92">
        <v>72</v>
      </c>
    </row>
    <row r="60" spans="1:6">
      <c r="A60" s="88">
        <v>57</v>
      </c>
      <c r="B60" s="88" t="str">
        <f t="shared" si="2"/>
        <v>FHF32W2システム天井</v>
      </c>
      <c r="C60" s="96" t="s">
        <v>21</v>
      </c>
      <c r="D60" s="97">
        <v>2</v>
      </c>
      <c r="E60" s="96" t="s">
        <v>281</v>
      </c>
      <c r="F60" s="98">
        <v>71</v>
      </c>
    </row>
    <row r="61" spans="1:6">
      <c r="A61" s="88">
        <v>58</v>
      </c>
      <c r="B61" s="88" t="str">
        <f t="shared" si="2"/>
        <v>FHF32W1黒板灯</v>
      </c>
      <c r="C61" s="92" t="s">
        <v>21</v>
      </c>
      <c r="D61" s="97">
        <v>1</v>
      </c>
      <c r="E61" s="92" t="s">
        <v>74</v>
      </c>
      <c r="F61" s="92">
        <v>36</v>
      </c>
    </row>
    <row r="62" spans="1:6">
      <c r="A62" s="88">
        <v>59</v>
      </c>
      <c r="B62" s="88" t="str">
        <f t="shared" si="2"/>
        <v>FHF32W1埋込　W190</v>
      </c>
      <c r="C62" s="92" t="s">
        <v>21</v>
      </c>
      <c r="D62" s="97">
        <v>1</v>
      </c>
      <c r="E62" s="92" t="s">
        <v>90</v>
      </c>
      <c r="F62" s="92">
        <v>36</v>
      </c>
    </row>
    <row r="63" spans="1:6">
      <c r="A63" s="88">
        <v>60</v>
      </c>
      <c r="B63" s="88" t="str">
        <f t="shared" si="2"/>
        <v>FHF32W1</v>
      </c>
      <c r="C63" s="92" t="s">
        <v>21</v>
      </c>
      <c r="D63" s="97">
        <v>1</v>
      </c>
      <c r="E63" s="92"/>
      <c r="F63" s="92">
        <v>36</v>
      </c>
    </row>
    <row r="64" spans="1:6">
      <c r="A64" s="88">
        <v>61</v>
      </c>
      <c r="B64" s="88" t="str">
        <f t="shared" si="2"/>
        <v>FHF32W2埋込　W300</v>
      </c>
      <c r="C64" s="92" t="s">
        <v>21</v>
      </c>
      <c r="D64" s="97">
        <v>2</v>
      </c>
      <c r="E64" s="92" t="s">
        <v>94</v>
      </c>
      <c r="F64" s="92">
        <v>72</v>
      </c>
    </row>
    <row r="65" spans="1:6">
      <c r="A65" s="88">
        <v>62</v>
      </c>
      <c r="B65" s="88" t="str">
        <f t="shared" si="2"/>
        <v>FHF32W9スクエア</v>
      </c>
      <c r="C65" s="92" t="s">
        <v>21</v>
      </c>
      <c r="D65" s="97">
        <v>9</v>
      </c>
      <c r="E65" s="92" t="s">
        <v>379</v>
      </c>
      <c r="F65" s="92">
        <v>324</v>
      </c>
    </row>
    <row r="66" spans="1:6">
      <c r="A66" s="88">
        <v>63</v>
      </c>
      <c r="B66" s="88" t="str">
        <f t="shared" si="2"/>
        <v>FHF32W6スクエア</v>
      </c>
      <c r="C66" s="92" t="s">
        <v>21</v>
      </c>
      <c r="D66" s="97">
        <v>6</v>
      </c>
      <c r="E66" s="92" t="s">
        <v>379</v>
      </c>
      <c r="F66" s="92">
        <v>216</v>
      </c>
    </row>
    <row r="67" spans="1:6">
      <c r="A67" s="88">
        <v>64</v>
      </c>
      <c r="B67" s="88" t="str">
        <f t="shared" si="2"/>
        <v>FHF32W36スクエア 埋込ルーバ 6連結</v>
      </c>
      <c r="C67" s="92" t="s">
        <v>21</v>
      </c>
      <c r="D67" s="97">
        <v>36</v>
      </c>
      <c r="E67" s="92" t="s">
        <v>518</v>
      </c>
      <c r="F67" s="92">
        <v>1296</v>
      </c>
    </row>
    <row r="68" spans="1:6">
      <c r="A68" s="88">
        <v>65</v>
      </c>
      <c r="B68" s="88" t="str">
        <f t="shared" si="2"/>
        <v>FHF32W18スクエア 埋込ルーバ3連結</v>
      </c>
      <c r="C68" s="92" t="s">
        <v>21</v>
      </c>
      <c r="D68" s="97">
        <v>18</v>
      </c>
      <c r="E68" s="92" t="s">
        <v>517</v>
      </c>
      <c r="F68" s="92">
        <v>648</v>
      </c>
    </row>
    <row r="69" spans="1:6">
      <c r="A69" s="88">
        <v>66</v>
      </c>
      <c r="B69" s="88" t="str">
        <f t="shared" si="2"/>
        <v>FHF32W30スクエア　埋込ルーバ</v>
      </c>
      <c r="C69" s="92" t="s">
        <v>21</v>
      </c>
      <c r="D69" s="97">
        <v>30</v>
      </c>
      <c r="E69" s="92" t="s">
        <v>529</v>
      </c>
      <c r="F69" s="92">
        <v>1080</v>
      </c>
    </row>
    <row r="70" spans="1:6">
      <c r="A70" s="88">
        <v>67</v>
      </c>
      <c r="B70" s="88" t="str">
        <f t="shared" si="2"/>
        <v>FHF32W6スクエア　埋込ｱｸﾘﾙｶﾊﾞｰ</v>
      </c>
      <c r="C70" s="92" t="s">
        <v>21</v>
      </c>
      <c r="D70" s="97">
        <v>6</v>
      </c>
      <c r="E70" s="92" t="s">
        <v>555</v>
      </c>
      <c r="F70" s="92">
        <v>216</v>
      </c>
    </row>
    <row r="71" spans="1:6">
      <c r="A71" s="88">
        <v>68</v>
      </c>
      <c r="B71" s="88" t="str">
        <f t="shared" si="2"/>
        <v>FHF32W1トラフ</v>
      </c>
      <c r="C71" s="92" t="s">
        <v>21</v>
      </c>
      <c r="D71" s="97">
        <v>1</v>
      </c>
      <c r="E71" s="92" t="s">
        <v>89</v>
      </c>
      <c r="F71" s="92">
        <v>36</v>
      </c>
    </row>
    <row r="72" spans="1:6">
      <c r="A72" s="88">
        <v>69</v>
      </c>
      <c r="B72" s="88" t="str">
        <f t="shared" si="2"/>
        <v>FHF32W1笠付</v>
      </c>
      <c r="C72" s="92" t="s">
        <v>21</v>
      </c>
      <c r="D72" s="97">
        <v>1</v>
      </c>
      <c r="E72" s="92" t="s">
        <v>88</v>
      </c>
      <c r="F72" s="92">
        <v>36</v>
      </c>
    </row>
    <row r="73" spans="1:6">
      <c r="A73" s="88">
        <v>70</v>
      </c>
      <c r="B73" s="88" t="str">
        <f t="shared" ref="B73:B104" si="3">C73&amp;D73&amp;E73</f>
        <v>FHF32W1埋込W190</v>
      </c>
      <c r="C73" s="92" t="s">
        <v>21</v>
      </c>
      <c r="D73" s="97">
        <v>1</v>
      </c>
      <c r="E73" s="92" t="s">
        <v>511</v>
      </c>
      <c r="F73" s="92">
        <v>36</v>
      </c>
    </row>
    <row r="74" spans="1:6">
      <c r="A74" s="88">
        <v>71</v>
      </c>
      <c r="B74" s="88" t="str">
        <f t="shared" si="3"/>
        <v>FHF32W1階段灯　非常灯付</v>
      </c>
      <c r="C74" s="92" t="s">
        <v>21</v>
      </c>
      <c r="D74" s="97">
        <v>1</v>
      </c>
      <c r="E74" s="92" t="s">
        <v>554</v>
      </c>
      <c r="F74" s="92">
        <v>36</v>
      </c>
    </row>
    <row r="75" spans="1:6">
      <c r="A75" s="88">
        <v>72</v>
      </c>
      <c r="B75" s="88" t="str">
        <f t="shared" si="3"/>
        <v>FHF32W1逆富士</v>
      </c>
      <c r="C75" s="92" t="s">
        <v>21</v>
      </c>
      <c r="D75" s="97">
        <v>1</v>
      </c>
      <c r="E75" s="92" t="s">
        <v>91</v>
      </c>
      <c r="F75" s="92">
        <v>36</v>
      </c>
    </row>
    <row r="76" spans="1:6">
      <c r="A76" s="88">
        <v>73</v>
      </c>
      <c r="B76" s="88" t="str">
        <f t="shared" si="3"/>
        <v>FHF32W1片反射笠付</v>
      </c>
      <c r="C76" s="92" t="s">
        <v>21</v>
      </c>
      <c r="D76" s="97">
        <v>1</v>
      </c>
      <c r="E76" s="92" t="s">
        <v>524</v>
      </c>
      <c r="F76" s="92">
        <v>36</v>
      </c>
    </row>
    <row r="77" spans="1:6">
      <c r="A77" s="88">
        <v>74</v>
      </c>
      <c r="B77" s="88" t="str">
        <f t="shared" si="3"/>
        <v>FHF32W2システム天井</v>
      </c>
      <c r="C77" s="92" t="s">
        <v>21</v>
      </c>
      <c r="D77" s="97">
        <v>2</v>
      </c>
      <c r="E77" s="92" t="s">
        <v>56</v>
      </c>
      <c r="F77" s="92">
        <v>72</v>
      </c>
    </row>
    <row r="78" spans="1:6">
      <c r="A78" s="88">
        <v>75</v>
      </c>
      <c r="B78" s="88" t="str">
        <f t="shared" si="3"/>
        <v>FHF32W2逆富士</v>
      </c>
      <c r="C78" s="92" t="s">
        <v>21</v>
      </c>
      <c r="D78" s="97">
        <v>2</v>
      </c>
      <c r="E78" s="92" t="s">
        <v>91</v>
      </c>
      <c r="F78" s="92">
        <v>72</v>
      </c>
    </row>
    <row r="79" spans="1:6">
      <c r="A79" s="88">
        <v>76</v>
      </c>
      <c r="B79" s="88" t="str">
        <f t="shared" si="3"/>
        <v>FHF32W2笠付</v>
      </c>
      <c r="C79" s="92" t="s">
        <v>21</v>
      </c>
      <c r="D79" s="97">
        <v>2</v>
      </c>
      <c r="E79" s="92" t="s">
        <v>88</v>
      </c>
      <c r="F79" s="92">
        <v>72</v>
      </c>
    </row>
    <row r="80" spans="1:6">
      <c r="A80" s="88">
        <v>77</v>
      </c>
      <c r="B80" s="88" t="str">
        <f t="shared" si="3"/>
        <v>FHF32W3埋込</v>
      </c>
      <c r="C80" s="92" t="s">
        <v>21</v>
      </c>
      <c r="D80" s="97">
        <v>3</v>
      </c>
      <c r="E80" s="92" t="s">
        <v>556</v>
      </c>
      <c r="F80" s="92">
        <v>108</v>
      </c>
    </row>
    <row r="81" spans="1:6">
      <c r="A81" s="88">
        <v>78</v>
      </c>
      <c r="B81" s="88" t="str">
        <f t="shared" si="3"/>
        <v>FHF32W2埋込W300</v>
      </c>
      <c r="C81" s="92" t="s">
        <v>21</v>
      </c>
      <c r="D81" s="97">
        <v>2</v>
      </c>
      <c r="E81" s="92" t="s">
        <v>509</v>
      </c>
      <c r="F81" s="92">
        <v>72</v>
      </c>
    </row>
    <row r="82" spans="1:6">
      <c r="A82" s="88">
        <v>79</v>
      </c>
      <c r="B82" s="88" t="str">
        <f t="shared" si="3"/>
        <v>FHF32W2直付下面開放</v>
      </c>
      <c r="C82" s="92" t="s">
        <v>21</v>
      </c>
      <c r="D82" s="97">
        <v>2</v>
      </c>
      <c r="E82" s="92" t="s">
        <v>572</v>
      </c>
      <c r="F82" s="92">
        <v>72</v>
      </c>
    </row>
    <row r="83" spans="1:6">
      <c r="A83" s="88">
        <v>80</v>
      </c>
      <c r="B83" s="88" t="str">
        <f t="shared" si="3"/>
        <v>FHF32W6スクエア　埋込ルーバ</v>
      </c>
      <c r="C83" s="96" t="s">
        <v>21</v>
      </c>
      <c r="D83" s="97">
        <v>6</v>
      </c>
      <c r="E83" s="96" t="s">
        <v>505</v>
      </c>
      <c r="F83" s="92">
        <v>216</v>
      </c>
    </row>
    <row r="84" spans="1:6">
      <c r="A84" s="88">
        <v>81</v>
      </c>
      <c r="B84" s="88" t="str">
        <f t="shared" si="3"/>
        <v>FHT24W1ダウンライト</v>
      </c>
      <c r="C84" s="92" t="s">
        <v>163</v>
      </c>
      <c r="D84" s="97">
        <v>1</v>
      </c>
      <c r="E84" s="92" t="s">
        <v>73</v>
      </c>
      <c r="F84" s="92">
        <v>27</v>
      </c>
    </row>
    <row r="85" spans="1:6">
      <c r="A85" s="88">
        <v>82</v>
      </c>
      <c r="B85" s="88" t="str">
        <f t="shared" si="3"/>
        <v>FHT42W1ダウンライト</v>
      </c>
      <c r="C85" s="92" t="s">
        <v>217</v>
      </c>
      <c r="D85" s="97">
        <v>1</v>
      </c>
      <c r="E85" s="92" t="s">
        <v>73</v>
      </c>
      <c r="F85" s="92">
        <v>48</v>
      </c>
    </row>
    <row r="86" spans="1:6">
      <c r="A86" s="88">
        <v>83</v>
      </c>
      <c r="B86" s="88" t="str">
        <f t="shared" si="3"/>
        <v>FL10W1表示灯　「開会中」</v>
      </c>
      <c r="C86" s="92" t="s">
        <v>558</v>
      </c>
      <c r="D86" s="97">
        <v>1</v>
      </c>
      <c r="E86" s="92" t="s">
        <v>559</v>
      </c>
      <c r="F86" s="92">
        <v>13</v>
      </c>
    </row>
    <row r="87" spans="1:6">
      <c r="A87" s="88">
        <v>84</v>
      </c>
      <c r="B87" s="88" t="str">
        <f t="shared" si="3"/>
        <v>FL110R1トラフ</v>
      </c>
      <c r="C87" s="96" t="s">
        <v>537</v>
      </c>
      <c r="D87" s="97">
        <v>1</v>
      </c>
      <c r="E87" s="92" t="s">
        <v>89</v>
      </c>
      <c r="F87" s="92">
        <v>121</v>
      </c>
    </row>
    <row r="88" spans="1:6">
      <c r="A88" s="88">
        <v>85</v>
      </c>
      <c r="B88" s="88" t="str">
        <f t="shared" si="3"/>
        <v>FL15W1棚下灯</v>
      </c>
      <c r="C88" s="92" t="s">
        <v>123</v>
      </c>
      <c r="D88" s="97">
        <v>1</v>
      </c>
      <c r="E88" s="92" t="s">
        <v>124</v>
      </c>
      <c r="F88" s="92">
        <v>18</v>
      </c>
    </row>
    <row r="89" spans="1:6">
      <c r="A89" s="88">
        <v>86</v>
      </c>
      <c r="B89" s="88" t="str">
        <f t="shared" si="3"/>
        <v>FL20W1ブラケット</v>
      </c>
      <c r="C89" s="96" t="s">
        <v>448</v>
      </c>
      <c r="D89" s="97">
        <v>1</v>
      </c>
      <c r="E89" s="92" t="s">
        <v>12</v>
      </c>
      <c r="F89" s="92">
        <v>23</v>
      </c>
    </row>
    <row r="90" spans="1:6">
      <c r="A90" s="88">
        <v>87</v>
      </c>
      <c r="B90" s="88" t="str">
        <f t="shared" si="3"/>
        <v>FL20W1ミラー灯</v>
      </c>
      <c r="C90" s="96" t="s">
        <v>448</v>
      </c>
      <c r="D90" s="97">
        <v>1</v>
      </c>
      <c r="E90" s="92" t="s">
        <v>375</v>
      </c>
      <c r="F90" s="92">
        <v>22</v>
      </c>
    </row>
    <row r="91" spans="1:6">
      <c r="A91" s="88">
        <v>88</v>
      </c>
      <c r="B91" s="88" t="str">
        <f t="shared" si="3"/>
        <v>FL20W1</v>
      </c>
      <c r="C91" s="96" t="s">
        <v>448</v>
      </c>
      <c r="D91" s="97">
        <v>1</v>
      </c>
      <c r="E91" s="92"/>
      <c r="F91" s="92">
        <v>22</v>
      </c>
    </row>
    <row r="92" spans="1:6">
      <c r="A92" s="88">
        <v>89</v>
      </c>
      <c r="B92" s="88" t="str">
        <f t="shared" si="3"/>
        <v>FL20W1ブラケット 「夜間・休日受付」</v>
      </c>
      <c r="C92" s="96" t="s">
        <v>164</v>
      </c>
      <c r="D92" s="97">
        <v>1</v>
      </c>
      <c r="E92" s="92" t="s">
        <v>543</v>
      </c>
      <c r="F92" s="92">
        <v>22</v>
      </c>
    </row>
    <row r="93" spans="1:6">
      <c r="A93" s="88">
        <v>90</v>
      </c>
      <c r="B93" s="88" t="str">
        <f t="shared" si="3"/>
        <v>FL20W1表示灯　「使用中」</v>
      </c>
      <c r="C93" s="96" t="s">
        <v>164</v>
      </c>
      <c r="D93" s="97">
        <v>1</v>
      </c>
      <c r="E93" s="92" t="s">
        <v>542</v>
      </c>
      <c r="F93" s="92">
        <v>22</v>
      </c>
    </row>
    <row r="94" spans="1:6">
      <c r="A94" s="88">
        <v>91</v>
      </c>
      <c r="B94" s="88" t="str">
        <f t="shared" si="3"/>
        <v>FL20W1表示灯</v>
      </c>
      <c r="C94" s="92" t="s">
        <v>164</v>
      </c>
      <c r="D94" s="97">
        <v>1</v>
      </c>
      <c r="E94" s="92" t="s">
        <v>165</v>
      </c>
      <c r="F94" s="92">
        <v>22</v>
      </c>
    </row>
    <row r="95" spans="1:6">
      <c r="A95" s="88">
        <v>92</v>
      </c>
      <c r="B95" s="88" t="str">
        <f t="shared" si="3"/>
        <v>FL20W1壁付机用ブラケット</v>
      </c>
      <c r="C95" s="92" t="s">
        <v>164</v>
      </c>
      <c r="D95" s="97">
        <v>1</v>
      </c>
      <c r="E95" s="92" t="s">
        <v>521</v>
      </c>
      <c r="F95" s="92">
        <v>22</v>
      </c>
    </row>
    <row r="96" spans="1:6">
      <c r="A96" s="88">
        <v>93</v>
      </c>
      <c r="B96" s="88" t="str">
        <f t="shared" si="3"/>
        <v>FL20W1ブラケット</v>
      </c>
      <c r="C96" s="92" t="s">
        <v>164</v>
      </c>
      <c r="D96" s="97">
        <v>1</v>
      </c>
      <c r="E96" s="92" t="s">
        <v>12</v>
      </c>
      <c r="F96" s="92">
        <v>22</v>
      </c>
    </row>
    <row r="97" spans="1:6">
      <c r="A97" s="88">
        <v>94</v>
      </c>
      <c r="B97" s="88" t="str">
        <f t="shared" si="3"/>
        <v>FL20W1キッチン灯</v>
      </c>
      <c r="C97" s="92" t="s">
        <v>164</v>
      </c>
      <c r="D97" s="97">
        <v>1</v>
      </c>
      <c r="E97" s="92" t="s">
        <v>571</v>
      </c>
      <c r="F97" s="92">
        <v>22</v>
      </c>
    </row>
    <row r="98" spans="1:6">
      <c r="A98" s="88">
        <v>95</v>
      </c>
      <c r="B98" s="88" t="str">
        <f t="shared" si="3"/>
        <v>FL20W1ブラケット器具</v>
      </c>
      <c r="C98" s="96" t="s">
        <v>164</v>
      </c>
      <c r="D98" s="97">
        <v>1</v>
      </c>
      <c r="E98" s="96" t="s">
        <v>250</v>
      </c>
      <c r="F98" s="92">
        <v>22</v>
      </c>
    </row>
    <row r="99" spans="1:6">
      <c r="A99" s="88">
        <v>96</v>
      </c>
      <c r="B99" s="88" t="str">
        <f t="shared" si="3"/>
        <v>FL20W×4，FL10W×2埋込Φ800　乳白カバー</v>
      </c>
      <c r="C99" s="96" t="s">
        <v>480</v>
      </c>
      <c r="D99" s="97"/>
      <c r="E99" s="92" t="s">
        <v>442</v>
      </c>
      <c r="F99" s="92">
        <v>100</v>
      </c>
    </row>
    <row r="100" spans="1:6">
      <c r="A100" s="88">
        <v>97</v>
      </c>
      <c r="B100" s="88" t="str">
        <f t="shared" si="3"/>
        <v>FL40W1トラフ</v>
      </c>
      <c r="C100" s="96" t="s">
        <v>547</v>
      </c>
      <c r="D100" s="97">
        <v>1</v>
      </c>
      <c r="E100" s="92" t="s">
        <v>89</v>
      </c>
      <c r="F100" s="92">
        <v>44</v>
      </c>
    </row>
    <row r="101" spans="1:6">
      <c r="A101" s="88">
        <v>98</v>
      </c>
      <c r="B101" s="88" t="str">
        <f t="shared" si="3"/>
        <v>FLR110W1笠付</v>
      </c>
      <c r="C101" s="96" t="s">
        <v>503</v>
      </c>
      <c r="D101" s="97">
        <v>1</v>
      </c>
      <c r="E101" s="92" t="s">
        <v>88</v>
      </c>
      <c r="F101" s="92">
        <v>121</v>
      </c>
    </row>
    <row r="102" spans="1:6">
      <c r="A102" s="88">
        <v>99</v>
      </c>
      <c r="B102" s="88" t="str">
        <f t="shared" si="3"/>
        <v>FLR110W1</v>
      </c>
      <c r="C102" s="96" t="s">
        <v>503</v>
      </c>
      <c r="D102" s="97">
        <v>1</v>
      </c>
      <c r="E102" s="96"/>
      <c r="F102" s="92">
        <v>121</v>
      </c>
    </row>
    <row r="103" spans="1:6">
      <c r="A103" s="88">
        <v>100</v>
      </c>
      <c r="B103" s="88" t="str">
        <f t="shared" si="3"/>
        <v>FPL18W1ダウンライト</v>
      </c>
      <c r="C103" s="96" t="s">
        <v>449</v>
      </c>
      <c r="D103" s="97">
        <v>1</v>
      </c>
      <c r="E103" s="92" t="s">
        <v>73</v>
      </c>
      <c r="F103" s="92">
        <v>20</v>
      </c>
    </row>
    <row r="104" spans="1:6">
      <c r="A104" s="88">
        <v>101</v>
      </c>
      <c r="B104" s="88" t="str">
        <f t="shared" si="3"/>
        <v>IL40W1ダウンライト</v>
      </c>
      <c r="C104" s="96" t="s">
        <v>443</v>
      </c>
      <c r="D104" s="97">
        <v>1</v>
      </c>
      <c r="E104" s="92" t="s">
        <v>73</v>
      </c>
      <c r="F104" s="92">
        <v>40</v>
      </c>
    </row>
    <row r="105" spans="1:6">
      <c r="A105" s="88">
        <v>102</v>
      </c>
      <c r="B105" s="88" t="str">
        <f t="shared" ref="B105:B129" si="4">C105&amp;D105&amp;E105</f>
        <v>IL40W1非常照明　電源別置型</v>
      </c>
      <c r="C105" s="92" t="s">
        <v>218</v>
      </c>
      <c r="D105" s="97">
        <v>1</v>
      </c>
      <c r="E105" s="92" t="s">
        <v>585</v>
      </c>
      <c r="F105" s="92">
        <v>40</v>
      </c>
    </row>
    <row r="106" spans="1:6">
      <c r="A106" s="88">
        <v>103</v>
      </c>
      <c r="B106" s="88" t="str">
        <f t="shared" si="4"/>
        <v>IL40W1非常照明　電池内蔵</v>
      </c>
      <c r="C106" s="92" t="s">
        <v>218</v>
      </c>
      <c r="D106" s="97">
        <v>1</v>
      </c>
      <c r="E106" s="92" t="s">
        <v>584</v>
      </c>
      <c r="F106" s="92">
        <v>40</v>
      </c>
    </row>
    <row r="107" spans="1:6">
      <c r="A107" s="88">
        <v>104</v>
      </c>
      <c r="B107" s="88" t="str">
        <f t="shared" si="4"/>
        <v>IL40W1和風ブラケット</v>
      </c>
      <c r="C107" s="92" t="s">
        <v>218</v>
      </c>
      <c r="D107" s="97">
        <v>1</v>
      </c>
      <c r="E107" s="92" t="s">
        <v>219</v>
      </c>
      <c r="F107" s="92">
        <v>40</v>
      </c>
    </row>
    <row r="108" spans="1:6">
      <c r="A108" s="88">
        <v>105</v>
      </c>
      <c r="B108" s="88" t="str">
        <f t="shared" si="4"/>
        <v>IL60W1ダウンライト</v>
      </c>
      <c r="C108" s="96" t="s">
        <v>373</v>
      </c>
      <c r="D108" s="97">
        <v>1</v>
      </c>
      <c r="E108" s="92" t="s">
        <v>73</v>
      </c>
      <c r="F108" s="92">
        <v>60</v>
      </c>
    </row>
    <row r="109" spans="1:6">
      <c r="A109" s="88">
        <v>106</v>
      </c>
      <c r="B109" s="88" t="str">
        <f t="shared" si="4"/>
        <v>IL60W1コップ型</v>
      </c>
      <c r="C109" s="96" t="s">
        <v>373</v>
      </c>
      <c r="D109" s="97">
        <v>1</v>
      </c>
      <c r="E109" s="92" t="s">
        <v>441</v>
      </c>
      <c r="F109" s="92">
        <v>60</v>
      </c>
    </row>
    <row r="110" spans="1:6">
      <c r="A110" s="88">
        <v>107</v>
      </c>
      <c r="B110" s="88" t="str">
        <f t="shared" si="4"/>
        <v>IL60W1非常照明　電源別置型</v>
      </c>
      <c r="C110" s="92" t="s">
        <v>72</v>
      </c>
      <c r="D110" s="97">
        <v>1</v>
      </c>
      <c r="E110" s="92" t="s">
        <v>585</v>
      </c>
      <c r="F110" s="92">
        <v>60</v>
      </c>
    </row>
    <row r="111" spans="1:6">
      <c r="A111" s="88">
        <v>108</v>
      </c>
      <c r="B111" s="88" t="str">
        <f t="shared" si="4"/>
        <v>IL60W1コップ</v>
      </c>
      <c r="C111" s="92" t="s">
        <v>72</v>
      </c>
      <c r="D111" s="97">
        <v>1</v>
      </c>
      <c r="E111" s="92" t="s">
        <v>132</v>
      </c>
      <c r="F111" s="92">
        <v>60</v>
      </c>
    </row>
    <row r="112" spans="1:6">
      <c r="A112" s="88">
        <v>109</v>
      </c>
      <c r="B112" s="88" t="str">
        <f t="shared" si="4"/>
        <v>IL60W1ダウンライト</v>
      </c>
      <c r="C112" s="92" t="s">
        <v>72</v>
      </c>
      <c r="D112" s="97">
        <v>1</v>
      </c>
      <c r="E112" s="92" t="s">
        <v>73</v>
      </c>
      <c r="F112" s="92">
        <v>60</v>
      </c>
    </row>
    <row r="113" spans="1:6">
      <c r="A113" s="88">
        <v>110</v>
      </c>
      <c r="B113" s="88" t="str">
        <f t="shared" si="4"/>
        <v>JD85W　1スポット</v>
      </c>
      <c r="C113" s="96" t="s">
        <v>445</v>
      </c>
      <c r="D113" s="97">
        <v>1</v>
      </c>
      <c r="E113" s="92" t="s">
        <v>446</v>
      </c>
      <c r="F113" s="92">
        <v>85</v>
      </c>
    </row>
    <row r="114" spans="1:6">
      <c r="A114" s="88">
        <v>111</v>
      </c>
      <c r="B114" s="88" t="str">
        <f t="shared" si="4"/>
        <v>LED1笠付</v>
      </c>
      <c r="C114" s="96" t="s">
        <v>75</v>
      </c>
      <c r="D114" s="97">
        <v>1</v>
      </c>
      <c r="E114" s="92" t="s">
        <v>88</v>
      </c>
      <c r="F114" s="92">
        <v>22</v>
      </c>
    </row>
    <row r="115" spans="1:6">
      <c r="A115" s="88">
        <v>112</v>
      </c>
      <c r="B115" s="88" t="str">
        <f t="shared" si="4"/>
        <v>LED1ベースライト　直付</v>
      </c>
      <c r="C115" s="96" t="s">
        <v>75</v>
      </c>
      <c r="D115" s="97">
        <v>1</v>
      </c>
      <c r="E115" s="92" t="s">
        <v>472</v>
      </c>
      <c r="F115" s="92">
        <v>22</v>
      </c>
    </row>
    <row r="116" spans="1:6">
      <c r="A116" s="88">
        <v>113</v>
      </c>
      <c r="B116" s="88" t="str">
        <f t="shared" si="4"/>
        <v>LED1スクエア</v>
      </c>
      <c r="C116" s="96" t="s">
        <v>75</v>
      </c>
      <c r="D116" s="97">
        <v>1</v>
      </c>
      <c r="E116" s="92" t="s">
        <v>379</v>
      </c>
      <c r="F116" s="92">
        <v>40</v>
      </c>
    </row>
    <row r="117" spans="1:6">
      <c r="A117" s="88">
        <v>114</v>
      </c>
      <c r="B117" s="88" t="str">
        <f t="shared" si="4"/>
        <v>LED1ユニバーサルダウンライト</v>
      </c>
      <c r="C117" s="96" t="s">
        <v>75</v>
      </c>
      <c r="D117" s="97">
        <v>1</v>
      </c>
      <c r="E117" s="92" t="s">
        <v>76</v>
      </c>
      <c r="F117" s="92">
        <v>10</v>
      </c>
    </row>
    <row r="118" spans="1:6">
      <c r="A118" s="88">
        <v>115</v>
      </c>
      <c r="B118" s="88" t="str">
        <f t="shared" si="4"/>
        <v>LED1黒板灯</v>
      </c>
      <c r="C118" s="96" t="s">
        <v>75</v>
      </c>
      <c r="D118" s="97">
        <v>1</v>
      </c>
      <c r="E118" s="92" t="s">
        <v>74</v>
      </c>
      <c r="F118" s="92">
        <v>22</v>
      </c>
    </row>
    <row r="119" spans="1:6">
      <c r="A119" s="88">
        <v>116</v>
      </c>
      <c r="B119" s="88" t="str">
        <f t="shared" si="4"/>
        <v>LED1投光器</v>
      </c>
      <c r="C119" s="96" t="s">
        <v>500</v>
      </c>
      <c r="D119" s="97">
        <v>1</v>
      </c>
      <c r="E119" s="92" t="s">
        <v>470</v>
      </c>
      <c r="F119" s="92">
        <v>100</v>
      </c>
    </row>
    <row r="120" spans="1:6">
      <c r="A120" s="88">
        <v>117</v>
      </c>
      <c r="B120" s="88" t="str">
        <f t="shared" si="4"/>
        <v>LED1ダウンライト</v>
      </c>
      <c r="C120" s="96" t="s">
        <v>75</v>
      </c>
      <c r="D120" s="97">
        <v>1</v>
      </c>
      <c r="E120" s="92" t="s">
        <v>73</v>
      </c>
      <c r="F120" s="92">
        <v>15</v>
      </c>
    </row>
    <row r="121" spans="1:6">
      <c r="A121" s="88">
        <v>118</v>
      </c>
      <c r="B121" s="88" t="str">
        <f t="shared" si="4"/>
        <v>LED電球1レセップ</v>
      </c>
      <c r="C121" s="96" t="s">
        <v>31</v>
      </c>
      <c r="D121" s="97">
        <v>1</v>
      </c>
      <c r="E121" s="92" t="s">
        <v>316</v>
      </c>
      <c r="F121" s="92">
        <v>4.5999999999999996</v>
      </c>
    </row>
    <row r="122" spans="1:6">
      <c r="A122" s="88">
        <v>119</v>
      </c>
      <c r="B122" s="88" t="str">
        <f t="shared" si="4"/>
        <v>LED電球1ユニバーサルダウンライト</v>
      </c>
      <c r="C122" s="96" t="s">
        <v>304</v>
      </c>
      <c r="D122" s="97">
        <v>1</v>
      </c>
      <c r="E122" s="92" t="s">
        <v>76</v>
      </c>
      <c r="F122" s="92">
        <v>10</v>
      </c>
    </row>
    <row r="123" spans="1:6">
      <c r="A123" s="88">
        <v>120</v>
      </c>
      <c r="B123" s="88" t="str">
        <f t="shared" si="4"/>
        <v>LED電球1ダウンライト</v>
      </c>
      <c r="C123" s="92" t="s">
        <v>31</v>
      </c>
      <c r="D123" s="97">
        <v>1</v>
      </c>
      <c r="E123" s="92" t="s">
        <v>73</v>
      </c>
      <c r="F123" s="92">
        <v>10</v>
      </c>
    </row>
    <row r="124" spans="1:6">
      <c r="A124" s="88">
        <v>121</v>
      </c>
      <c r="B124" s="88" t="str">
        <f t="shared" si="4"/>
        <v>MF100W1スクエア</v>
      </c>
      <c r="C124" s="96" t="s">
        <v>125</v>
      </c>
      <c r="D124" s="97">
        <v>1</v>
      </c>
      <c r="E124" s="92" t="s">
        <v>379</v>
      </c>
      <c r="F124" s="92">
        <v>100</v>
      </c>
    </row>
    <row r="125" spans="1:6">
      <c r="A125" s="88">
        <v>122</v>
      </c>
      <c r="B125" s="88" t="str">
        <f t="shared" si="4"/>
        <v>MF100W1ダウンライト　□275</v>
      </c>
      <c r="C125" s="96" t="s">
        <v>125</v>
      </c>
      <c r="D125" s="97">
        <v>1</v>
      </c>
      <c r="E125" s="92" t="s">
        <v>340</v>
      </c>
      <c r="F125" s="92">
        <v>100</v>
      </c>
    </row>
    <row r="126" spans="1:6">
      <c r="A126" s="88">
        <v>123</v>
      </c>
      <c r="B126" s="88" t="str">
        <f t="shared" si="4"/>
        <v>MF100W1150角</v>
      </c>
      <c r="C126" s="92" t="s">
        <v>125</v>
      </c>
      <c r="D126" s="97">
        <v>1</v>
      </c>
      <c r="E126" s="92" t="s">
        <v>126</v>
      </c>
      <c r="F126" s="92">
        <v>100</v>
      </c>
    </row>
    <row r="127" spans="1:6">
      <c r="A127" s="88">
        <v>124</v>
      </c>
      <c r="B127" s="88" t="str">
        <f t="shared" si="4"/>
        <v>MF100W1ダウンライト　角型</v>
      </c>
      <c r="C127" s="92" t="s">
        <v>125</v>
      </c>
      <c r="D127" s="97">
        <v>1</v>
      </c>
      <c r="E127" s="92" t="s">
        <v>530</v>
      </c>
      <c r="F127" s="92">
        <v>100</v>
      </c>
    </row>
    <row r="128" spans="1:6">
      <c r="A128" s="88">
        <v>125</v>
      </c>
      <c r="B128" s="88" t="str">
        <f t="shared" si="4"/>
        <v>MH300W1ダウンライト</v>
      </c>
      <c r="C128" s="96" t="s">
        <v>317</v>
      </c>
      <c r="D128" s="97">
        <v>1</v>
      </c>
      <c r="E128" s="92" t="s">
        <v>73</v>
      </c>
      <c r="F128" s="98">
        <v>330</v>
      </c>
    </row>
    <row r="129" spans="1:6">
      <c r="A129" s="88">
        <v>126</v>
      </c>
      <c r="B129" s="88" t="str">
        <f t="shared" si="4"/>
        <v>直管LED1黒板灯</v>
      </c>
      <c r="C129" s="92" t="s">
        <v>385</v>
      </c>
      <c r="D129" s="97">
        <v>1</v>
      </c>
      <c r="E129" s="92" t="s">
        <v>74</v>
      </c>
      <c r="F129" s="92">
        <v>22</v>
      </c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</sheetData>
  <autoFilter ref="A3:F129" xr:uid="{2682B705-907F-4E21-B1B8-33810E8345AE}"/>
  <phoneticPr fontId="2"/>
  <dataValidations count="2">
    <dataValidation allowBlank="1" showInputMessage="1" showErrorMessage="1" sqref="C9:C81 E128:E129 C126:C129 E4:E8" xr:uid="{DAB7AC43-5D45-49D5-81C1-BD8D27B142A3}"/>
    <dataValidation type="list" allowBlank="1" showInputMessage="1" sqref="C4:C8" xr:uid="{97B1B578-BDB4-44D2-BC3C-17C7689AB9C3}">
      <formula1>"FLR40W,FLR40W 非常用,"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1CCC-2D6F-4220-AAEA-262EE3475DBA}">
  <sheetPr>
    <tabColor rgb="FF00B050"/>
  </sheetPr>
  <dimension ref="A1:F31"/>
  <sheetViews>
    <sheetView zoomScale="115" zoomScaleNormal="115" workbookViewId="0">
      <selection activeCell="E27" sqref="E27"/>
    </sheetView>
  </sheetViews>
  <sheetFormatPr defaultRowHeight="17.649999999999999"/>
  <cols>
    <col min="1" max="1" width="21" bestFit="1" customWidth="1"/>
    <col min="2" max="2" width="13.3125" customWidth="1"/>
    <col min="3" max="3" width="6.875" bestFit="1" customWidth="1"/>
    <col min="4" max="4" width="8" bestFit="1" customWidth="1"/>
    <col min="5" max="5" width="11.625" bestFit="1" customWidth="1"/>
    <col min="6" max="6" width="27.0625" customWidth="1"/>
  </cols>
  <sheetData>
    <row r="1" spans="1:6">
      <c r="A1" s="85" t="s">
        <v>1602</v>
      </c>
      <c r="B1" s="73"/>
      <c r="C1" s="73"/>
      <c r="D1" s="73"/>
      <c r="E1" s="73"/>
      <c r="F1" s="73"/>
    </row>
    <row r="2" spans="1:6" ht="19.149999999999999">
      <c r="A2" s="86"/>
      <c r="B2" s="73"/>
      <c r="C2" s="73"/>
      <c r="D2" s="73"/>
      <c r="E2" s="73"/>
      <c r="F2" s="73"/>
    </row>
    <row r="3" spans="1:6" ht="21">
      <c r="A3" s="90" t="s">
        <v>1501</v>
      </c>
      <c r="B3" s="90" t="s">
        <v>599</v>
      </c>
      <c r="C3" s="91" t="s">
        <v>1519</v>
      </c>
      <c r="D3" s="91" t="s">
        <v>1520</v>
      </c>
      <c r="E3" s="91" t="s">
        <v>1521</v>
      </c>
      <c r="F3" s="90" t="s">
        <v>10</v>
      </c>
    </row>
    <row r="4" spans="1:6">
      <c r="A4" s="88" t="s">
        <v>600</v>
      </c>
      <c r="B4" s="87" t="s">
        <v>1502</v>
      </c>
      <c r="C4" s="89">
        <v>9.5</v>
      </c>
      <c r="D4" s="88">
        <v>242</v>
      </c>
      <c r="E4" s="144">
        <f>C4*D4</f>
        <v>2299</v>
      </c>
      <c r="F4" s="88" t="s">
        <v>602</v>
      </c>
    </row>
    <row r="5" spans="1:6">
      <c r="A5" s="88" t="s">
        <v>601</v>
      </c>
      <c r="B5" s="87" t="s">
        <v>1502</v>
      </c>
      <c r="C5" s="89">
        <v>9.5</v>
      </c>
      <c r="D5" s="88">
        <v>242</v>
      </c>
      <c r="E5" s="144">
        <f t="shared" ref="E5:E30" si="0">C5*D5</f>
        <v>2299</v>
      </c>
      <c r="F5" s="88" t="s">
        <v>605</v>
      </c>
    </row>
    <row r="6" spans="1:6">
      <c r="A6" s="88" t="s">
        <v>1515</v>
      </c>
      <c r="B6" s="87" t="s">
        <v>1502</v>
      </c>
      <c r="C6" s="89">
        <v>9.5</v>
      </c>
      <c r="D6" s="88">
        <v>242</v>
      </c>
      <c r="E6" s="144">
        <f t="shared" si="0"/>
        <v>2299</v>
      </c>
      <c r="F6" s="88"/>
    </row>
    <row r="7" spans="1:6">
      <c r="A7" s="88" t="s">
        <v>603</v>
      </c>
      <c r="B7" s="87" t="s">
        <v>1502</v>
      </c>
      <c r="C7" s="89">
        <v>4</v>
      </c>
      <c r="D7" s="88">
        <v>242</v>
      </c>
      <c r="E7" s="144">
        <f t="shared" si="0"/>
        <v>968</v>
      </c>
      <c r="F7" s="88"/>
    </row>
    <row r="8" spans="1:6">
      <c r="A8" s="88" t="s">
        <v>604</v>
      </c>
      <c r="B8" s="87" t="s">
        <v>1502</v>
      </c>
      <c r="C8" s="89">
        <v>3</v>
      </c>
      <c r="D8" s="88">
        <v>242</v>
      </c>
      <c r="E8" s="144">
        <f t="shared" si="0"/>
        <v>726</v>
      </c>
      <c r="F8" s="88"/>
    </row>
    <row r="9" spans="1:6">
      <c r="A9" s="88" t="s">
        <v>1513</v>
      </c>
      <c r="B9" s="87" t="s">
        <v>1502</v>
      </c>
      <c r="C9" s="89">
        <v>2</v>
      </c>
      <c r="D9" s="88">
        <v>242</v>
      </c>
      <c r="E9" s="144">
        <f t="shared" si="0"/>
        <v>484</v>
      </c>
      <c r="F9" s="88"/>
    </row>
    <row r="10" spans="1:6">
      <c r="A10" s="88" t="s">
        <v>44</v>
      </c>
      <c r="B10" s="87" t="s">
        <v>1502</v>
      </c>
      <c r="C10" s="89">
        <v>1</v>
      </c>
      <c r="D10" s="88">
        <v>242</v>
      </c>
      <c r="E10" s="144">
        <f t="shared" si="0"/>
        <v>242</v>
      </c>
      <c r="F10" s="88" t="s">
        <v>1615</v>
      </c>
    </row>
    <row r="11" spans="1:6">
      <c r="A11" s="88" t="s">
        <v>606</v>
      </c>
      <c r="B11" s="87" t="s">
        <v>1502</v>
      </c>
      <c r="C11" s="89">
        <v>1</v>
      </c>
      <c r="D11" s="88">
        <v>242</v>
      </c>
      <c r="E11" s="144">
        <f t="shared" si="0"/>
        <v>242</v>
      </c>
      <c r="F11" s="88"/>
    </row>
    <row r="12" spans="1:6">
      <c r="A12" s="88" t="s">
        <v>611</v>
      </c>
      <c r="B12" s="87" t="s">
        <v>1502</v>
      </c>
      <c r="C12" s="89">
        <v>9.5</v>
      </c>
      <c r="D12" s="88">
        <v>242</v>
      </c>
      <c r="E12" s="144">
        <f t="shared" si="0"/>
        <v>2299</v>
      </c>
      <c r="F12" s="88"/>
    </row>
    <row r="13" spans="1:6">
      <c r="A13" s="88" t="s">
        <v>612</v>
      </c>
      <c r="B13" s="87" t="s">
        <v>1502</v>
      </c>
      <c r="C13" s="89">
        <v>2</v>
      </c>
      <c r="D13" s="88">
        <v>242</v>
      </c>
      <c r="E13" s="144">
        <f t="shared" si="0"/>
        <v>484</v>
      </c>
      <c r="F13" s="88"/>
    </row>
    <row r="14" spans="1:6">
      <c r="A14" s="88" t="s">
        <v>381</v>
      </c>
      <c r="B14" s="87" t="s">
        <v>1502</v>
      </c>
      <c r="C14" s="89">
        <v>9.5</v>
      </c>
      <c r="D14" s="88">
        <v>242</v>
      </c>
      <c r="E14" s="144">
        <f t="shared" si="0"/>
        <v>2299</v>
      </c>
      <c r="F14" s="88"/>
    </row>
    <row r="15" spans="1:6">
      <c r="A15" s="88" t="s">
        <v>481</v>
      </c>
      <c r="B15" s="87" t="s">
        <v>1503</v>
      </c>
      <c r="C15" s="89">
        <v>13</v>
      </c>
      <c r="D15" s="88">
        <v>242</v>
      </c>
      <c r="E15" s="144">
        <f t="shared" si="0"/>
        <v>3146</v>
      </c>
      <c r="F15" s="88"/>
    </row>
    <row r="16" spans="1:6">
      <c r="A16" s="88" t="s">
        <v>607</v>
      </c>
      <c r="B16" s="87" t="s">
        <v>1504</v>
      </c>
      <c r="C16" s="89">
        <v>8</v>
      </c>
      <c r="D16" s="88">
        <v>242</v>
      </c>
      <c r="E16" s="144">
        <f t="shared" si="0"/>
        <v>1936</v>
      </c>
      <c r="F16" s="88"/>
    </row>
    <row r="17" spans="1:6">
      <c r="A17" s="88" t="s">
        <v>608</v>
      </c>
      <c r="B17" s="87" t="s">
        <v>1522</v>
      </c>
      <c r="C17" s="89">
        <v>17.5</v>
      </c>
      <c r="D17" s="88">
        <v>242</v>
      </c>
      <c r="E17" s="144">
        <f t="shared" si="0"/>
        <v>4235</v>
      </c>
      <c r="F17" s="88"/>
    </row>
    <row r="18" spans="1:6">
      <c r="A18" s="88" t="s">
        <v>609</v>
      </c>
      <c r="B18" s="87" t="s">
        <v>613</v>
      </c>
      <c r="C18" s="89">
        <v>24</v>
      </c>
      <c r="D18" s="88">
        <v>123</v>
      </c>
      <c r="E18" s="144">
        <f t="shared" si="0"/>
        <v>2952</v>
      </c>
      <c r="F18" s="88"/>
    </row>
    <row r="19" spans="1:6">
      <c r="A19" s="88" t="s">
        <v>610</v>
      </c>
      <c r="B19" s="87" t="s">
        <v>613</v>
      </c>
      <c r="C19" s="89">
        <v>24</v>
      </c>
      <c r="D19" s="88">
        <v>365</v>
      </c>
      <c r="E19" s="144">
        <f t="shared" si="0"/>
        <v>8760</v>
      </c>
      <c r="F19" s="88"/>
    </row>
    <row r="20" spans="1:6">
      <c r="A20" s="88" t="s">
        <v>1505</v>
      </c>
      <c r="B20" s="87" t="s">
        <v>1506</v>
      </c>
      <c r="C20" s="89">
        <v>5.5</v>
      </c>
      <c r="D20" s="88">
        <v>365</v>
      </c>
      <c r="E20" s="144">
        <f>ROUNDUP(C20*D20,0)</f>
        <v>2008</v>
      </c>
      <c r="F20" s="88"/>
    </row>
    <row r="21" spans="1:6">
      <c r="A21" s="88" t="s">
        <v>617</v>
      </c>
      <c r="B21" s="87" t="s">
        <v>614</v>
      </c>
      <c r="C21" s="89">
        <v>2.5</v>
      </c>
      <c r="D21" s="88">
        <v>365</v>
      </c>
      <c r="E21" s="144">
        <f>ROUNDUP(C21*D21,0)</f>
        <v>913</v>
      </c>
      <c r="F21" s="88"/>
    </row>
    <row r="22" spans="1:6">
      <c r="A22" s="88" t="s">
        <v>618</v>
      </c>
      <c r="B22" s="87" t="s">
        <v>619</v>
      </c>
      <c r="C22" s="89">
        <v>4.5</v>
      </c>
      <c r="D22" s="88">
        <v>365</v>
      </c>
      <c r="E22" s="144">
        <f>ROUNDUP(C22*D22,0)</f>
        <v>1643</v>
      </c>
      <c r="F22" s="88" t="s">
        <v>620</v>
      </c>
    </row>
    <row r="23" spans="1:6">
      <c r="A23" s="88" t="s">
        <v>616</v>
      </c>
      <c r="B23" s="87" t="s">
        <v>614</v>
      </c>
      <c r="C23" s="89">
        <v>2.5</v>
      </c>
      <c r="D23" s="88">
        <v>242</v>
      </c>
      <c r="E23" s="144">
        <f t="shared" si="0"/>
        <v>605</v>
      </c>
      <c r="F23" s="88"/>
    </row>
    <row r="24" spans="1:6">
      <c r="A24" s="88" t="s">
        <v>615</v>
      </c>
      <c r="B24" s="87" t="s">
        <v>1523</v>
      </c>
      <c r="C24" s="89">
        <v>12</v>
      </c>
      <c r="D24" s="88">
        <v>365</v>
      </c>
      <c r="E24" s="144">
        <f t="shared" si="0"/>
        <v>4380</v>
      </c>
      <c r="F24" s="88"/>
    </row>
    <row r="25" spans="1:6">
      <c r="A25" s="88" t="s">
        <v>77</v>
      </c>
      <c r="B25" s="87" t="s">
        <v>613</v>
      </c>
      <c r="C25" s="89">
        <v>24</v>
      </c>
      <c r="D25" s="88">
        <v>365</v>
      </c>
      <c r="E25" s="144">
        <f t="shared" si="0"/>
        <v>8760</v>
      </c>
      <c r="F25" s="88"/>
    </row>
    <row r="26" spans="1:6">
      <c r="A26" s="88" t="s">
        <v>624</v>
      </c>
      <c r="B26" s="87" t="s">
        <v>613</v>
      </c>
      <c r="C26" s="89">
        <v>0</v>
      </c>
      <c r="D26" s="88">
        <v>365</v>
      </c>
      <c r="E26" s="144">
        <f t="shared" si="0"/>
        <v>0</v>
      </c>
      <c r="F26" s="88"/>
    </row>
    <row r="27" spans="1:6">
      <c r="A27" s="88" t="s">
        <v>1507</v>
      </c>
      <c r="B27" s="87" t="s">
        <v>613</v>
      </c>
      <c r="C27" s="89">
        <v>24</v>
      </c>
      <c r="D27" s="88">
        <v>0</v>
      </c>
      <c r="E27" s="144">
        <f t="shared" si="0"/>
        <v>0</v>
      </c>
      <c r="F27" s="88" t="s">
        <v>1510</v>
      </c>
    </row>
    <row r="28" spans="1:6">
      <c r="A28" s="88" t="s">
        <v>35</v>
      </c>
      <c r="B28" s="87" t="s">
        <v>1509</v>
      </c>
      <c r="C28" s="89">
        <v>10.75</v>
      </c>
      <c r="D28" s="88">
        <v>242</v>
      </c>
      <c r="E28" s="144">
        <f>ROUNDUP(C28*D28,0)</f>
        <v>2602</v>
      </c>
      <c r="F28" s="88"/>
    </row>
    <row r="29" spans="1:6">
      <c r="A29" s="88" t="s">
        <v>1508</v>
      </c>
      <c r="B29" s="87" t="s">
        <v>613</v>
      </c>
      <c r="C29" s="89">
        <v>24</v>
      </c>
      <c r="D29" s="88">
        <v>365</v>
      </c>
      <c r="E29" s="144">
        <f t="shared" si="0"/>
        <v>8760</v>
      </c>
      <c r="F29" s="88"/>
    </row>
    <row r="30" spans="1:6">
      <c r="A30" s="88" t="s">
        <v>1511</v>
      </c>
      <c r="B30" s="87" t="s">
        <v>1502</v>
      </c>
      <c r="C30" s="89">
        <v>9.5</v>
      </c>
      <c r="D30" s="88">
        <v>62</v>
      </c>
      <c r="E30" s="144">
        <f t="shared" si="0"/>
        <v>589</v>
      </c>
      <c r="F30" s="88"/>
    </row>
    <row r="31" spans="1:6">
      <c r="A31" s="88" t="s">
        <v>160</v>
      </c>
      <c r="B31" s="87" t="s">
        <v>1502</v>
      </c>
      <c r="C31" s="89">
        <v>9.5</v>
      </c>
      <c r="D31" s="88">
        <v>29</v>
      </c>
      <c r="E31" s="144">
        <f>ROUNDUP(C31*D31,0)</f>
        <v>276</v>
      </c>
      <c r="F31" s="88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E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C553-B824-408C-8780-45D38BF25C26}">
  <sheetPr>
    <tabColor rgb="FF00B050"/>
  </sheetPr>
  <dimension ref="A1:M13"/>
  <sheetViews>
    <sheetView tabSelected="1" workbookViewId="0">
      <selection activeCell="E16" sqref="E16"/>
    </sheetView>
  </sheetViews>
  <sheetFormatPr defaultRowHeight="17.649999999999999"/>
  <cols>
    <col min="1" max="1" width="14.625" customWidth="1"/>
    <col min="2" max="13" width="6.0625" customWidth="1"/>
  </cols>
  <sheetData>
    <row r="1" spans="1:13" ht="21.4">
      <c r="A1" s="86" t="s">
        <v>1604</v>
      </c>
      <c r="B1" s="118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>
      <c r="A3" s="74"/>
      <c r="B3" s="107" t="s">
        <v>469</v>
      </c>
      <c r="C3" s="107" t="s">
        <v>1598</v>
      </c>
      <c r="D3" s="107" t="s">
        <v>345</v>
      </c>
      <c r="E3" s="107" t="s">
        <v>332</v>
      </c>
      <c r="F3" s="107" t="s">
        <v>318</v>
      </c>
      <c r="G3" s="107" t="s">
        <v>260</v>
      </c>
      <c r="H3" s="107" t="s">
        <v>16</v>
      </c>
      <c r="I3" s="107" t="s">
        <v>99</v>
      </c>
      <c r="J3" s="107" t="s">
        <v>133</v>
      </c>
      <c r="K3" s="107" t="s">
        <v>171</v>
      </c>
      <c r="L3" s="123" t="s">
        <v>226</v>
      </c>
      <c r="M3" s="109" t="s">
        <v>1548</v>
      </c>
    </row>
    <row r="4" spans="1:13" ht="28.9">
      <c r="A4" s="131" t="s">
        <v>1599</v>
      </c>
      <c r="B4" s="128">
        <f>SUMIFS(既設照明器具リスト!$J$4:$J$876,既設照明器具リスト!$B$4:$B$876,"■",既設照明器具リスト!$D$4:$D$876,"屋外",既設照明器具リスト!$E$4:$E$876,"&lt;&gt;誘導灯",既設照明器具リスト!$E$4:$E$876,"&lt;&gt;非常用照明")</f>
        <v>55</v>
      </c>
      <c r="C4" s="128">
        <f>SUMIFS(既設照明器具リスト!$J$4:$J$876,既設照明器具リスト!$B$4:$B$876,"■",既設照明器具リスト!$D$4:$D$876,"B1",既設照明器具リスト!$E$4:$E$876,"&lt;&gt;誘導灯",既設照明器具リスト!$E$4:$E$876,"&lt;&gt;非常用照明")</f>
        <v>496</v>
      </c>
      <c r="D4" s="128">
        <f>SUMIFS(既設照明器具リスト!$J$4:$J$876,既設照明器具リスト!$B$4:$B$876,"■",既設照明器具リスト!$D$4:$D$876,"1F",既設照明器具リスト!$E$4:$E$876,"&lt;&gt;誘導灯",既設照明器具リスト!$E$4:$E$876,"&lt;&gt;非常用照明")</f>
        <v>640</v>
      </c>
      <c r="E4" s="128">
        <f>SUMIFS(既設照明器具リスト!$J$4:$J$876,既設照明器具リスト!$B$4:$B$876,"■",既設照明器具リスト!$D$4:$D$876,"2F",既設照明器具リスト!$E$4:$E$876,"&lt;&gt;誘導灯",既設照明器具リスト!$E$4:$E$876,"&lt;&gt;非常用照明")</f>
        <v>705</v>
      </c>
      <c r="F4" s="128">
        <f>SUMIFS(既設照明器具リスト!$J$4:$J$876,既設照明器具リスト!$B$4:$B$876,"■",既設照明器具リスト!$D$4:$D$876,"3F",既設照明器具リスト!$E$4:$E$876,"&lt;&gt;誘導灯",既設照明器具リスト!$E$4:$E$876,"&lt;&gt;非常用照明")</f>
        <v>500</v>
      </c>
      <c r="G4" s="128">
        <f>SUMIFS(既設照明器具リスト!$J$4:$J$876,既設照明器具リスト!$B$4:$B$876,"■",既設照明器具リスト!$D$4:$D$876,"4F",既設照明器具リスト!$E$4:$E$876,"&lt;&gt;誘導灯",既設照明器具リスト!$E$4:$E$876,"&lt;&gt;非常用照明")</f>
        <v>566</v>
      </c>
      <c r="H4" s="128">
        <f>SUMIFS(既設照明器具リスト!$J$4:$J$876,既設照明器具リスト!$B$4:$B$876,"■",既設照明器具リスト!$D$4:$D$876,"5F",既設照明器具リスト!$E$4:$E$876,"&lt;&gt;誘導灯",既設照明器具リスト!$E$4:$E$876,"&lt;&gt;非常用照明")</f>
        <v>572</v>
      </c>
      <c r="I4" s="128">
        <f>SUMIFS(既設照明器具リスト!$J$4:$J$876,既設照明器具リスト!$B$4:$B$876,"■",既設照明器具リスト!$D$4:$D$876,"6F",既設照明器具リスト!$E$4:$E$876,"&lt;&gt;誘導灯",既設照明器具リスト!$E$4:$E$876,"&lt;&gt;非常用照明")</f>
        <v>655</v>
      </c>
      <c r="J4" s="128">
        <f>SUMIFS(既設照明器具リスト!$J$4:$J$876,既設照明器具リスト!$B$4:$B$876,"■",既設照明器具リスト!$D$4:$D$876,"7F",既設照明器具リスト!$E$4:$E$876,"&lt;&gt;誘導灯",既設照明器具リスト!$E$4:$E$876,"&lt;&gt;非常用照明")</f>
        <v>554</v>
      </c>
      <c r="K4" s="128">
        <f>SUMIFS(既設照明器具リスト!$J$4:$J$876,既設照明器具リスト!$B$4:$B$876,"■",既設照明器具リスト!$D$4:$D$876,"8F",既設照明器具リスト!$E$4:$E$876,"&lt;&gt;誘導灯",既設照明器具リスト!$E$4:$E$876,"&lt;&gt;非常用照明")</f>
        <v>927</v>
      </c>
      <c r="L4" s="129">
        <f>SUMIFS(既設照明器具リスト!$J$4:$J$876,既設照明器具リスト!$B$4:$B$876,"■",既設照明器具リスト!$D$4:$D$876,"RF",既設照明器具リスト!$E$4:$E$876,"&lt;&gt;誘導灯",既設照明器具リスト!$E$4:$E$876,"&lt;&gt;非常用照明")</f>
        <v>209</v>
      </c>
      <c r="M4" s="130">
        <f>SUM(B4:L4)</f>
        <v>5879</v>
      </c>
    </row>
    <row r="5" spans="1:13" ht="28.9">
      <c r="A5" s="131" t="s">
        <v>1600</v>
      </c>
      <c r="B5" s="128">
        <f>SUMIFS(既設照明器具リスト!$J$4:$J$876,既設照明器具リスト!$B$4:$B$876,"□",既設照明器具リスト!$D$4:$D$876,"屋外",既設照明器具リスト!$E$4:$E$876,"&lt;&gt;誘導灯",既設照明器具リスト!$E$4:$E$876,"&lt;&gt;非常用照明")</f>
        <v>20</v>
      </c>
      <c r="C5" s="128">
        <f>SUMIFS(既設照明器具リスト!$J$4:$J$876,既設照明器具リスト!$B$4:$B$876,"□",既設照明器具リスト!$D$4:$D$876,"B1",既設照明器具リスト!$E$4:$E$876,"&lt;&gt;誘導灯",既設照明器具リスト!$E$4:$E$876,"&lt;&gt;非常用照明")</f>
        <v>9</v>
      </c>
      <c r="D5" s="128">
        <f>SUMIFS(既設照明器具リスト!$J$4:$J$876,既設照明器具リスト!$B$4:$B$876,"□",既設照明器具リスト!$D$4:$D$876,"1F",既設照明器具リスト!$E$4:$E$876,"&lt;&gt;誘導灯",既設照明器具リスト!$E$4:$E$876,"&lt;&gt;非常用照明")</f>
        <v>14</v>
      </c>
      <c r="E5" s="128">
        <f>SUMIFS(既設照明器具リスト!$J$4:$J$876,既設照明器具リスト!$B$4:$B$876,"□",既設照明器具リスト!$D$4:$D$876,"2F",既設照明器具リスト!$E$4:$E$876,"&lt;&gt;誘導灯",既設照明器具リスト!$E$4:$E$876,"&lt;&gt;非常用照明")</f>
        <v>0</v>
      </c>
      <c r="F5" s="128">
        <f>SUMIFS(既設照明器具リスト!$J$4:$J$876,既設照明器具リスト!$B$4:$B$876,"□",既設照明器具リスト!$D$4:$D$876,"3F",既設照明器具リスト!$E$4:$E$876,"&lt;&gt;誘導灯",既設照明器具リスト!$E$4:$E$876,"&lt;&gt;非常用照明")</f>
        <v>6</v>
      </c>
      <c r="G5" s="128">
        <f>SUMIFS(既設照明器具リスト!$J$4:$J$876,既設照明器具リスト!$B$4:$B$876,"□",既設照明器具リスト!$D$4:$D$876,"4F",既設照明器具リスト!$E$4:$E$876,"&lt;&gt;誘導灯",既設照明器具リスト!$E$4:$E$876,"&lt;&gt;非常用照明")</f>
        <v>0</v>
      </c>
      <c r="H5" s="128">
        <f>SUMIFS(既設照明器具リスト!$J$4:$J$876,既設照明器具リスト!$B$4:$B$876,"□",既設照明器具リスト!$D$4:$D$876,"5F",既設照明器具リスト!$E$4:$E$876,"&lt;&gt;誘導灯",既設照明器具リスト!$E$4:$E$876,"&lt;&gt;非常用照明")</f>
        <v>0</v>
      </c>
      <c r="I5" s="128">
        <f>SUMIFS(既設照明器具リスト!$J$4:$J$876,既設照明器具リスト!$B$4:$B$876,"□",既設照明器具リスト!$D$4:$D$876,"6F",既設照明器具リスト!$E$4:$E$876,"&lt;&gt;誘導灯",既設照明器具リスト!$E$4:$E$876,"&lt;&gt;非常用照明")</f>
        <v>0</v>
      </c>
      <c r="J5" s="128">
        <f>SUMIFS(既設照明器具リスト!$J$4:$J$876,既設照明器具リスト!$B$4:$B$876,"□",既設照明器具リスト!$D$4:$D$876,"7F",既設照明器具リスト!$E$4:$E$876,"&lt;&gt;誘導灯",既設照明器具リスト!$E$4:$E$876,"&lt;&gt;非常用照明")</f>
        <v>0</v>
      </c>
      <c r="K5" s="128">
        <f>SUMIFS(既設照明器具リスト!$J$4:$J$876,既設照明器具リスト!$B$4:$B$876,"□",既設照明器具リスト!$D$4:$D$876,"8F",既設照明器具リスト!$E$4:$E$876,"&lt;&gt;誘導灯",既設照明器具リスト!$E$4:$E$876,"&lt;&gt;非常用照明")</f>
        <v>0</v>
      </c>
      <c r="L5" s="129">
        <f>SUMIFS(既設照明器具リスト!$J$4:$J$876,既設照明器具リスト!$B$4:$B$876,"□",既設照明器具リスト!$D$4:$D$876,"RF",既設照明器具リスト!$E$4:$E$876,"&lt;&gt;誘導灯",既設照明器具リスト!$E$4:$E$876,"&lt;&gt;非常用照明")</f>
        <v>0</v>
      </c>
      <c r="M5" s="130">
        <f t="shared" ref="M5:M12" si="0">SUM(B5:L5)</f>
        <v>49</v>
      </c>
    </row>
    <row r="6" spans="1:13" ht="28.9">
      <c r="A6" s="131" t="s">
        <v>1605</v>
      </c>
      <c r="B6" s="124">
        <f>SUMIFS(既設照明器具リスト!$J$4:$J$876,既設照明器具リスト!$B$4:$B$876,"■",既設照明器具リスト!$D$4:$D$876,"屋外",既設照明器具リスト!$E$4:$E$876,"誘導灯")</f>
        <v>0</v>
      </c>
      <c r="C6" s="124">
        <f>SUMIFS(既設照明器具リスト!$J$4:$J$876,既設照明器具リスト!$B$4:$B$876,"■",既設照明器具リスト!$D$4:$D$876,"B1",既設照明器具リスト!$E$4:$E$876,"誘導灯")</f>
        <v>21</v>
      </c>
      <c r="D6" s="124">
        <f>SUMIFS(既設照明器具リスト!$J$4:$J$876,既設照明器具リスト!$B$4:$B$876,"■",既設照明器具リスト!$D$4:$D$876,"1F",既設照明器具リスト!$E$4:$E$876,"誘導灯")</f>
        <v>29</v>
      </c>
      <c r="E6" s="124">
        <f>SUMIFS(既設照明器具リスト!$J$4:$J$876,既設照明器具リスト!$B$4:$B$876,"■",既設照明器具リスト!$D$4:$D$876,"2F",既設照明器具リスト!$E$4:$E$876,"誘導灯")</f>
        <v>17</v>
      </c>
      <c r="F6" s="124">
        <f>SUMIFS(既設照明器具リスト!$J$4:$J$876,既設照明器具リスト!$B$4:$B$876,"■",既設照明器具リスト!$D$4:$D$876,"3F",既設照明器具リスト!$E$4:$E$876,"誘導灯")</f>
        <v>18</v>
      </c>
      <c r="G6" s="124">
        <f>SUMIFS(既設照明器具リスト!$J$4:$J$876,既設照明器具リスト!$B$4:$B$876,"■",既設照明器具リスト!$D$4:$D$876,"4F",既設照明器具リスト!$E$4:$E$876,"誘導灯")</f>
        <v>18</v>
      </c>
      <c r="H6" s="124">
        <f>SUMIFS(既設照明器具リスト!$J$4:$J$876,既設照明器具リスト!$B$4:$B$876,"■",既設照明器具リスト!$D$4:$D$876,"5F",既設照明器具リスト!$E$4:$E$876,"誘導灯")</f>
        <v>18</v>
      </c>
      <c r="I6" s="124">
        <f>SUMIFS(既設照明器具リスト!$J$4:$J$876,既設照明器具リスト!$B$4:$B$876,"■",既設照明器具リスト!$D$4:$D$876,"6F",既設照明器具リスト!$E$4:$E$876,"誘導灯")</f>
        <v>19</v>
      </c>
      <c r="J6" s="124">
        <f>SUMIFS(既設照明器具リスト!$J$4:$J$876,既設照明器具リスト!$B$4:$B$876,"■",既設照明器具リスト!$D$4:$D$876,"7F",既設照明器具リスト!$E$4:$E$876,"誘導灯")</f>
        <v>29</v>
      </c>
      <c r="K6" s="124">
        <f>SUMIFS(既設照明器具リスト!$J$4:$J$876,既設照明器具リスト!$B$4:$B$876,"■",既設照明器具リスト!$D$4:$D$876,"8F",既設照明器具リスト!$E$4:$E$876,"誘導灯")</f>
        <v>29</v>
      </c>
      <c r="L6" s="125">
        <f>SUMIFS(既設照明器具リスト!$J$4:$J$876,既設照明器具リスト!$B$4:$B$876,"■",既設照明器具リスト!$D$4:$D$876,"RF",既設照明器具リスト!$E$4:$E$876,"誘導灯")</f>
        <v>0</v>
      </c>
      <c r="M6" s="130">
        <f t="shared" si="0"/>
        <v>198</v>
      </c>
    </row>
    <row r="7" spans="1:13" ht="28.9">
      <c r="A7" s="131" t="s">
        <v>1609</v>
      </c>
      <c r="B7" s="124">
        <f>SUMIFS(既設照明器具リスト!$J$4:$J$876,既設照明器具リスト!$B$4:$B$876,"□",既設照明器具リスト!$D$4:$D$876,"屋外",既設照明器具リスト!$E$4:$E$876,"誘導灯")</f>
        <v>0</v>
      </c>
      <c r="C7" s="124">
        <f>SUMIFS(既設照明器具リスト!$J$4:$J$876,既設照明器具リスト!$B$4:$B$876,"□",既設照明器具リスト!$D$4:$D$876,"B1",既設照明器具リスト!$E$4:$E$876,"誘導灯")</f>
        <v>0</v>
      </c>
      <c r="D7" s="124">
        <f>SUMIFS(既設照明器具リスト!$J$4:$J$876,既設照明器具リスト!$B$4:$B$876,"□",既設照明器具リスト!$D$4:$D$876,"1F",既設照明器具リスト!$E$4:$E$876,"誘導灯")</f>
        <v>0</v>
      </c>
      <c r="E7" s="124">
        <f>SUMIFS(既設照明器具リスト!$J$4:$J$876,既設照明器具リスト!$B$4:$B$876,"□",既設照明器具リスト!$D$4:$D$876,"2F",既設照明器具リスト!$E$4:$E$876,"誘導灯")</f>
        <v>0</v>
      </c>
      <c r="F7" s="124">
        <f>SUMIFS(既設照明器具リスト!$J$4:$J$876,既設照明器具リスト!$B$4:$B$876,"□",既設照明器具リスト!$D$4:$D$876,"3F",既設照明器具リスト!$E$4:$E$876,"誘導灯")</f>
        <v>0</v>
      </c>
      <c r="G7" s="124">
        <f>SUMIFS(既設照明器具リスト!$J$4:$J$876,既設照明器具リスト!$B$4:$B$876,"□",既設照明器具リスト!$D$4:$D$876,"4F",既設照明器具リスト!$E$4:$E$876,"誘導灯")</f>
        <v>0</v>
      </c>
      <c r="H7" s="124">
        <f>SUMIFS(既設照明器具リスト!$J$4:$J$876,既設照明器具リスト!$B$4:$B$876,"□",既設照明器具リスト!$D$4:$D$876,"5F",既設照明器具リスト!$E$4:$E$876,"誘導灯")</f>
        <v>0</v>
      </c>
      <c r="I7" s="124">
        <f>SUMIFS(既設照明器具リスト!$J$4:$J$876,既設照明器具リスト!$B$4:$B$876,"□",既設照明器具リスト!$D$4:$D$876,"6F",既設照明器具リスト!$E$4:$E$876,"誘導灯")</f>
        <v>0</v>
      </c>
      <c r="J7" s="124">
        <f>SUMIFS(既設照明器具リスト!$J$4:$J$876,既設照明器具リスト!$B$4:$B$876,"□",既設照明器具リスト!$D$4:$D$876,"7F",既設照明器具リスト!$E$4:$E$876,"誘導灯")</f>
        <v>0</v>
      </c>
      <c r="K7" s="124">
        <f>SUMIFS(既設照明器具リスト!$J$4:$J$876,既設照明器具リスト!$B$4:$B$876,"□",既設照明器具リスト!$D$4:$D$876,"8F",既設照明器具リスト!$E$4:$E$876,"誘導灯")</f>
        <v>0</v>
      </c>
      <c r="L7" s="125">
        <f>SUMIFS(既設照明器具リスト!$J$4:$J$876,既設照明器具リスト!$B$4:$B$876,"□",既設照明器具リスト!$D$4:$D$876,"RF",既設照明器具リスト!$E$4:$E$876,"誘導灯")</f>
        <v>0</v>
      </c>
      <c r="M7" s="130">
        <f t="shared" si="0"/>
        <v>0</v>
      </c>
    </row>
    <row r="8" spans="1:13" ht="28.9">
      <c r="A8" s="131" t="s">
        <v>1606</v>
      </c>
      <c r="B8" s="124">
        <f>SUMIFS(既設照明器具リスト!$J$4:$J$876,既設照明器具リスト!$B$4:$B$876,"■",既設照明器具リスト!$D$4:$D$876,"屋外",既設照明器具リスト!$E$4:$E$876,"非常用照明")</f>
        <v>0</v>
      </c>
      <c r="C8" s="124">
        <f>SUMIFS(既設照明器具リスト!$J$4:$J$876,既設照明器具リスト!$B$4:$B$876,"■",既設照明器具リスト!$D$4:$D$876,"B1",既設照明器具リスト!$E$4:$E$876,"非常用照明")</f>
        <v>82</v>
      </c>
      <c r="D8" s="124">
        <f>SUMIFS(既設照明器具リスト!$J$4:$J$876,既設照明器具リスト!$B$4:$B$876,"■",既設照明器具リスト!$D$4:$D$876,"1F",既設照明器具リスト!$E$4:$E$876,"非常用照明")</f>
        <v>95</v>
      </c>
      <c r="E8" s="124">
        <f>SUMIFS(既設照明器具リスト!$J$4:$J$876,既設照明器具リスト!$B$4:$B$876,"■",既設照明器具リスト!$D$4:$D$876,"2F",既設照明器具リスト!$E$4:$E$876,"非常用照明")</f>
        <v>100</v>
      </c>
      <c r="F8" s="124">
        <f>SUMIFS(既設照明器具リスト!$J$4:$J$876,既設照明器具リスト!$B$4:$B$876,"■",既設照明器具リスト!$D$4:$D$876,"3F",既設照明器具リスト!$E$4:$E$876,"非常用照明")</f>
        <v>84</v>
      </c>
      <c r="G8" s="124">
        <f>SUMIFS(既設照明器具リスト!$J$4:$J$876,既設照明器具リスト!$B$4:$B$876,"■",既設照明器具リスト!$D$4:$D$876,"4F",既設照明器具リスト!$E$4:$E$876,"非常用照明")</f>
        <v>112</v>
      </c>
      <c r="H8" s="124">
        <f>SUMIFS(既設照明器具リスト!$J$4:$J$876,既設照明器具リスト!$B$4:$B$876,"■",既設照明器具リスト!$D$4:$D$876,"5F",既設照明器具リスト!$E$4:$E$876,"非常用照明")</f>
        <v>98</v>
      </c>
      <c r="I8" s="124">
        <f>SUMIFS(既設照明器具リスト!$J$4:$J$876,既設照明器具リスト!$B$4:$B$876,"■",既設照明器具リスト!$D$4:$D$876,"6F",既設照明器具リスト!$E$4:$E$876,"非常用照明")</f>
        <v>96</v>
      </c>
      <c r="J8" s="124">
        <f>SUMIFS(既設照明器具リスト!$J$4:$J$876,既設照明器具リスト!$B$4:$B$876,"■",既設照明器具リスト!$D$4:$D$876,"7F",既設照明器具リスト!$E$4:$E$876,"非常用照明")</f>
        <v>98</v>
      </c>
      <c r="K8" s="124">
        <f>SUMIFS(既設照明器具リスト!$J$4:$J$876,既設照明器具リスト!$B$4:$B$876,"■",既設照明器具リスト!$D$4:$D$876,"8F",既設照明器具リスト!$E$4:$E$876,"非常用照明")</f>
        <v>105</v>
      </c>
      <c r="L8" s="125">
        <f>SUMIFS(既設照明器具リスト!$J$4:$J$876,既設照明器具リスト!$B$4:$B$876,"■",既設照明器具リスト!$D$4:$D$876,"RF",既設照明器具リスト!$E$4:$E$876,"非常用照明")</f>
        <v>0</v>
      </c>
      <c r="M8" s="130">
        <f t="shared" si="0"/>
        <v>870</v>
      </c>
    </row>
    <row r="9" spans="1:13" ht="29.25" thickBot="1">
      <c r="A9" s="132" t="s">
        <v>1610</v>
      </c>
      <c r="B9" s="126">
        <f>SUMIFS(既設照明器具リスト!$J$4:$J$876,既設照明器具リスト!$B$4:$B$876,"□",既設照明器具リスト!$D$4:$D$876,"屋外",既設照明器具リスト!$E$4:$E$876,"非常用照明")</f>
        <v>0</v>
      </c>
      <c r="C9" s="126">
        <f>SUMIFS(既設照明器具リスト!$J$4:$J$876,既設照明器具リスト!$B$4:$B$876,"□",既設照明器具リスト!$D$4:$D$876,"B1",既設照明器具リスト!$E$4:$E$876,"非常用照明")</f>
        <v>0</v>
      </c>
      <c r="D9" s="126">
        <f>SUMIFS(既設照明器具リスト!$J$4:$J$876,既設照明器具リスト!$B$4:$B$876,"□",既設照明器具リスト!$D$4:$D$876,"1F",既設照明器具リスト!$E$4:$E$876,"非常用照明")</f>
        <v>0</v>
      </c>
      <c r="E9" s="126">
        <f>SUMIFS(既設照明器具リスト!$J$4:$J$876,既設照明器具リスト!$B$4:$B$876,"□",既設照明器具リスト!$D$4:$D$876,"2F",既設照明器具リスト!$E$4:$E$876,"非常用照明")</f>
        <v>0</v>
      </c>
      <c r="F9" s="126">
        <f>SUMIFS(既設照明器具リスト!$J$4:$J$876,既設照明器具リスト!$B$4:$B$876,"□",既設照明器具リスト!$D$4:$D$876,"3F",既設照明器具リスト!$E$4:$E$876,"非常用照明")</f>
        <v>0</v>
      </c>
      <c r="G9" s="126">
        <f>SUMIFS(既設照明器具リスト!$J$4:$J$876,既設照明器具リスト!$B$4:$B$876,"□",既設照明器具リスト!$D$4:$D$876,"4F",既設照明器具リスト!$E$4:$E$876,"非常用照明")</f>
        <v>0</v>
      </c>
      <c r="H9" s="126">
        <f>SUMIFS(既設照明器具リスト!$J$4:$J$876,既設照明器具リスト!$B$4:$B$876,"□",既設照明器具リスト!$D$4:$D$876,"5F",既設照明器具リスト!$E$4:$E$876,"非常用照明")</f>
        <v>0</v>
      </c>
      <c r="I9" s="126">
        <f>SUMIFS(既設照明器具リスト!$J$4:$J$876,既設照明器具リスト!$B$4:$B$876,"□",既設照明器具リスト!$D$4:$D$876,"6F",既設照明器具リスト!$E$4:$E$876,"非常用照明")</f>
        <v>0</v>
      </c>
      <c r="J9" s="126">
        <f>SUMIFS(既設照明器具リスト!$J$4:$J$876,既設照明器具リスト!$B$4:$B$876,"□",既設照明器具リスト!$D$4:$D$876,"7F",既設照明器具リスト!$E$4:$E$876,"非常用照明")</f>
        <v>0</v>
      </c>
      <c r="K9" s="126">
        <f>SUMIFS(既設照明器具リスト!$J$4:$J$876,既設照明器具リスト!$B$4:$B$876,"□",既設照明器具リスト!$D$4:$D$876,"8F",既設照明器具リスト!$E$4:$E$876,"非常用照明")</f>
        <v>0</v>
      </c>
      <c r="L9" s="127">
        <f>SUMIFS(既設照明器具リスト!$J$4:$J$876,既設照明器具リスト!$B$4:$B$876,"□",既設照明器具リスト!$D$4:$D$876,"RF",既設照明器具リスト!$E$4:$E$876,"非常用照明")</f>
        <v>0</v>
      </c>
      <c r="M9" s="138">
        <f t="shared" si="0"/>
        <v>0</v>
      </c>
    </row>
    <row r="10" spans="1:13" ht="29.25" thickTop="1">
      <c r="A10" s="136" t="s">
        <v>1611</v>
      </c>
      <c r="B10" s="137">
        <f>B4+B6+B8</f>
        <v>55</v>
      </c>
      <c r="C10" s="137">
        <f t="shared" ref="C10:L10" si="1">C4+C6+C8</f>
        <v>599</v>
      </c>
      <c r="D10" s="137">
        <f t="shared" si="1"/>
        <v>764</v>
      </c>
      <c r="E10" s="137">
        <f t="shared" si="1"/>
        <v>822</v>
      </c>
      <c r="F10" s="137">
        <f t="shared" si="1"/>
        <v>602</v>
      </c>
      <c r="G10" s="137">
        <f t="shared" si="1"/>
        <v>696</v>
      </c>
      <c r="H10" s="137">
        <f t="shared" si="1"/>
        <v>688</v>
      </c>
      <c r="I10" s="137">
        <f t="shared" si="1"/>
        <v>770</v>
      </c>
      <c r="J10" s="137">
        <f t="shared" si="1"/>
        <v>681</v>
      </c>
      <c r="K10" s="137">
        <f t="shared" si="1"/>
        <v>1061</v>
      </c>
      <c r="L10" s="140">
        <f t="shared" si="1"/>
        <v>209</v>
      </c>
      <c r="M10" s="139">
        <f t="shared" si="0"/>
        <v>6947</v>
      </c>
    </row>
    <row r="11" spans="1:13" ht="28.9">
      <c r="A11" s="134" t="s">
        <v>1612</v>
      </c>
      <c r="B11" s="133">
        <f>B5+B7+B9</f>
        <v>20</v>
      </c>
      <c r="C11" s="133">
        <f t="shared" ref="C11:L11" si="2">C5+C7+C9</f>
        <v>9</v>
      </c>
      <c r="D11" s="133">
        <f t="shared" si="2"/>
        <v>14</v>
      </c>
      <c r="E11" s="133">
        <f t="shared" si="2"/>
        <v>0</v>
      </c>
      <c r="F11" s="133">
        <f t="shared" si="2"/>
        <v>6</v>
      </c>
      <c r="G11" s="133">
        <f t="shared" si="2"/>
        <v>0</v>
      </c>
      <c r="H11" s="133">
        <f t="shared" si="2"/>
        <v>0</v>
      </c>
      <c r="I11" s="133">
        <f t="shared" si="2"/>
        <v>0</v>
      </c>
      <c r="J11" s="133">
        <f t="shared" si="2"/>
        <v>0</v>
      </c>
      <c r="K11" s="133">
        <f t="shared" si="2"/>
        <v>0</v>
      </c>
      <c r="L11" s="141">
        <f t="shared" si="2"/>
        <v>0</v>
      </c>
      <c r="M11" s="130">
        <f t="shared" si="0"/>
        <v>49</v>
      </c>
    </row>
    <row r="12" spans="1:13" ht="29" customHeight="1">
      <c r="A12" s="135" t="s">
        <v>1613</v>
      </c>
      <c r="B12" s="133">
        <f>SUM(B4:B9)</f>
        <v>75</v>
      </c>
      <c r="C12" s="133">
        <f t="shared" ref="C12:L12" si="3">SUM(C4:C9)</f>
        <v>608</v>
      </c>
      <c r="D12" s="133">
        <f t="shared" si="3"/>
        <v>778</v>
      </c>
      <c r="E12" s="133">
        <f t="shared" si="3"/>
        <v>822</v>
      </c>
      <c r="F12" s="133">
        <f t="shared" si="3"/>
        <v>608</v>
      </c>
      <c r="G12" s="133">
        <f t="shared" si="3"/>
        <v>696</v>
      </c>
      <c r="H12" s="133">
        <f t="shared" si="3"/>
        <v>688</v>
      </c>
      <c r="I12" s="133">
        <f t="shared" si="3"/>
        <v>770</v>
      </c>
      <c r="J12" s="133">
        <f t="shared" si="3"/>
        <v>681</v>
      </c>
      <c r="K12" s="133">
        <f t="shared" si="3"/>
        <v>1061</v>
      </c>
      <c r="L12" s="141">
        <f t="shared" si="3"/>
        <v>209</v>
      </c>
      <c r="M12" s="130">
        <f t="shared" si="0"/>
        <v>6996</v>
      </c>
    </row>
    <row r="13" spans="1:13" ht="28.9" customHeight="1">
      <c r="A13" s="145" t="s">
        <v>1616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</sheetData>
  <mergeCells count="1">
    <mergeCell ref="A13:M13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A804-E3E5-41E0-BC67-77C56A4BEA86}">
  <sheetPr>
    <tabColor rgb="FF00B050"/>
  </sheetPr>
  <dimension ref="A1:O878"/>
  <sheetViews>
    <sheetView view="pageBreakPreview" zoomScale="90" zoomScaleNormal="90" zoomScaleSheetLayoutView="90" workbookViewId="0">
      <pane xSplit="1" ySplit="3" topLeftCell="B849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7.649999999999999"/>
  <cols>
    <col min="1" max="1" width="6.5" customWidth="1"/>
    <col min="2" max="2" width="6.625" customWidth="1"/>
    <col min="3" max="3" width="9.6875" bestFit="1" customWidth="1"/>
    <col min="4" max="4" width="4.625" bestFit="1" customWidth="1"/>
    <col min="5" max="5" width="25.5625" bestFit="1" customWidth="1"/>
    <col min="6" max="6" width="26.8125" bestFit="1" customWidth="1"/>
    <col min="7" max="7" width="20.75" bestFit="1" customWidth="1"/>
    <col min="8" max="8" width="4.8125" bestFit="1" customWidth="1"/>
    <col min="9" max="9" width="27.8125" bestFit="1" customWidth="1"/>
    <col min="10" max="10" width="4.625" bestFit="1" customWidth="1"/>
    <col min="11" max="11" width="10.4375" customWidth="1"/>
    <col min="12" max="12" width="12" hidden="1" customWidth="1"/>
    <col min="13" max="13" width="10.4375" customWidth="1"/>
    <col min="14" max="14" width="9" customWidth="1"/>
    <col min="15" max="15" width="14.375" customWidth="1"/>
  </cols>
  <sheetData>
    <row r="1" spans="1:15" ht="21.4">
      <c r="A1" s="81" t="s">
        <v>1614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7.75" customHeight="1">
      <c r="A2" s="8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5.25">
      <c r="A3" s="78" t="s">
        <v>0</v>
      </c>
      <c r="B3" s="84" t="s">
        <v>1518</v>
      </c>
      <c r="C3" s="78" t="s">
        <v>14</v>
      </c>
      <c r="D3" s="79" t="s">
        <v>1</v>
      </c>
      <c r="E3" s="79" t="s">
        <v>1501</v>
      </c>
      <c r="F3" s="79" t="s">
        <v>13</v>
      </c>
      <c r="G3" s="80" t="s">
        <v>2</v>
      </c>
      <c r="H3" s="79" t="s">
        <v>3</v>
      </c>
      <c r="I3" s="80" t="s">
        <v>6</v>
      </c>
      <c r="J3" s="80" t="s">
        <v>4</v>
      </c>
      <c r="K3" s="82" t="s">
        <v>1516</v>
      </c>
      <c r="L3" s="80" t="s">
        <v>1512</v>
      </c>
      <c r="M3" s="83" t="s">
        <v>1517</v>
      </c>
      <c r="N3" s="79" t="s">
        <v>1514</v>
      </c>
      <c r="O3" s="83" t="s">
        <v>1597</v>
      </c>
    </row>
    <row r="4" spans="1:15">
      <c r="A4" s="2" t="s">
        <v>625</v>
      </c>
      <c r="B4" s="78" t="s">
        <v>1498</v>
      </c>
      <c r="C4" s="2"/>
      <c r="D4" s="14" t="s">
        <v>469</v>
      </c>
      <c r="E4" s="14" t="s">
        <v>1505</v>
      </c>
      <c r="F4" s="14" t="s">
        <v>460</v>
      </c>
      <c r="G4" s="75" t="s">
        <v>466</v>
      </c>
      <c r="H4" s="34">
        <v>1</v>
      </c>
      <c r="I4" s="50" t="s">
        <v>461</v>
      </c>
      <c r="J4" s="24">
        <v>20</v>
      </c>
      <c r="K4" s="32">
        <f>VLOOKUP(E4,照明設備稼働時間!$A$4:$E$31,5,FALSE)</f>
        <v>2008</v>
      </c>
      <c r="L4" s="32" t="str">
        <f t="shared" ref="L4:L67" si="0">G4&amp;H4&amp;I4</f>
        <v>NH360W1NH360投光器</v>
      </c>
      <c r="M4" s="14">
        <f>VLOOKUP(L4,照明器具一覧!$B$4:$F$129,5,FALSE)</f>
        <v>360</v>
      </c>
      <c r="N4" s="14">
        <v>1</v>
      </c>
      <c r="O4" s="142">
        <f>(M4*J4*K4*N4)/1000</f>
        <v>14457.6</v>
      </c>
    </row>
    <row r="5" spans="1:15">
      <c r="A5" s="2" t="s">
        <v>626</v>
      </c>
      <c r="B5" s="78" t="s">
        <v>1499</v>
      </c>
      <c r="C5" s="2"/>
      <c r="D5" s="14" t="s">
        <v>469</v>
      </c>
      <c r="E5" s="14" t="s">
        <v>617</v>
      </c>
      <c r="F5" s="14" t="s">
        <v>460</v>
      </c>
      <c r="G5" s="75" t="s">
        <v>467</v>
      </c>
      <c r="H5" s="34">
        <v>1</v>
      </c>
      <c r="I5" s="50" t="s">
        <v>462</v>
      </c>
      <c r="J5" s="24">
        <v>31</v>
      </c>
      <c r="K5" s="32">
        <f>VLOOKUP(E5,照明設備稼働時間!$A$4:$E$31,5,FALSE)</f>
        <v>913</v>
      </c>
      <c r="L5" s="32" t="str">
        <f t="shared" si="0"/>
        <v>HF40W1HF40ｶﾞｰﾃﾞﾝライト</v>
      </c>
      <c r="M5" s="14">
        <f>VLOOKUP(L5,照明器具一覧!$B$4:$F$129,5,FALSE)</f>
        <v>40</v>
      </c>
      <c r="N5" s="14">
        <v>1</v>
      </c>
      <c r="O5" s="142">
        <f t="shared" ref="O5:O68" si="1">(M5*J5*K5*N5)/1000</f>
        <v>1132.1199999999999</v>
      </c>
    </row>
    <row r="6" spans="1:15">
      <c r="A6" s="2" t="s">
        <v>627</v>
      </c>
      <c r="B6" s="78" t="s">
        <v>1499</v>
      </c>
      <c r="C6" s="2"/>
      <c r="D6" s="14" t="s">
        <v>469</v>
      </c>
      <c r="E6" s="14" t="s">
        <v>617</v>
      </c>
      <c r="F6" s="14" t="s">
        <v>460</v>
      </c>
      <c r="G6" s="75" t="s">
        <v>444</v>
      </c>
      <c r="H6" s="34">
        <v>1</v>
      </c>
      <c r="I6" s="50" t="s">
        <v>463</v>
      </c>
      <c r="J6" s="24">
        <v>20</v>
      </c>
      <c r="K6" s="32">
        <f>VLOOKUP(E6,照明設備稼働時間!$A$4:$E$31,5,FALSE)</f>
        <v>913</v>
      </c>
      <c r="L6" s="32" t="str">
        <f t="shared" si="0"/>
        <v>IL100W1足元灯</v>
      </c>
      <c r="M6" s="14">
        <f>VLOOKUP(L6,照明器具一覧!$B$4:$F$129,5,FALSE)</f>
        <v>100</v>
      </c>
      <c r="N6" s="14">
        <v>1</v>
      </c>
      <c r="O6" s="142">
        <f t="shared" si="1"/>
        <v>1826</v>
      </c>
    </row>
    <row r="7" spans="1:15">
      <c r="A7" s="2" t="s">
        <v>628</v>
      </c>
      <c r="B7" s="78" t="s">
        <v>1499</v>
      </c>
      <c r="C7" s="2"/>
      <c r="D7" s="14" t="s">
        <v>469</v>
      </c>
      <c r="E7" s="14" t="s">
        <v>618</v>
      </c>
      <c r="F7" s="14" t="s">
        <v>460</v>
      </c>
      <c r="G7" s="75" t="s">
        <v>468</v>
      </c>
      <c r="H7" s="34">
        <v>1</v>
      </c>
      <c r="I7" s="50" t="s">
        <v>1607</v>
      </c>
      <c r="J7" s="24">
        <v>2</v>
      </c>
      <c r="K7" s="32">
        <f>VLOOKUP(E7,照明設備稼働時間!$A$4:$E$31,5,FALSE)</f>
        <v>1643</v>
      </c>
      <c r="L7" s="32" t="str">
        <f t="shared" si="0"/>
        <v>HF250W1HF250外灯　丸(要ポール更新)</v>
      </c>
      <c r="M7" s="14">
        <f>VLOOKUP(L7,照明器具一覧!$B$4:$F$129,5,FALSE)</f>
        <v>250</v>
      </c>
      <c r="N7" s="14">
        <v>1</v>
      </c>
      <c r="O7" s="142">
        <f t="shared" si="1"/>
        <v>821.5</v>
      </c>
    </row>
    <row r="8" spans="1:15">
      <c r="A8" s="2" t="s">
        <v>629</v>
      </c>
      <c r="B8" s="78" t="s">
        <v>1499</v>
      </c>
      <c r="C8" s="2"/>
      <c r="D8" s="14" t="s">
        <v>469</v>
      </c>
      <c r="E8" s="14" t="s">
        <v>617</v>
      </c>
      <c r="F8" s="14" t="s">
        <v>460</v>
      </c>
      <c r="G8" s="75" t="s">
        <v>468</v>
      </c>
      <c r="H8" s="34">
        <v>2</v>
      </c>
      <c r="I8" s="50" t="s">
        <v>465</v>
      </c>
      <c r="J8" s="24">
        <v>2</v>
      </c>
      <c r="K8" s="32">
        <f>VLOOKUP(E8,照明設備稼働時間!$A$4:$E$31,5,FALSE)</f>
        <v>913</v>
      </c>
      <c r="L8" s="32" t="str">
        <f t="shared" si="0"/>
        <v>HF250W22灯式駐車場灯</v>
      </c>
      <c r="M8" s="14">
        <f>VLOOKUP(L8,照明器具一覧!$B$4:$F$129,5,FALSE)</f>
        <v>500</v>
      </c>
      <c r="N8" s="14">
        <v>1</v>
      </c>
      <c r="O8" s="142">
        <f t="shared" si="1"/>
        <v>913</v>
      </c>
    </row>
    <row r="9" spans="1:15">
      <c r="A9" s="2" t="s">
        <v>630</v>
      </c>
      <c r="B9" s="78" t="s">
        <v>1499</v>
      </c>
      <c r="C9" s="48" t="s">
        <v>295</v>
      </c>
      <c r="D9" s="29" t="s">
        <v>389</v>
      </c>
      <c r="E9" s="29" t="s">
        <v>600</v>
      </c>
      <c r="F9" s="49" t="s">
        <v>455</v>
      </c>
      <c r="G9" s="50" t="s">
        <v>21</v>
      </c>
      <c r="H9" s="34">
        <v>2</v>
      </c>
      <c r="I9" s="29" t="s">
        <v>308</v>
      </c>
      <c r="J9" s="24">
        <v>5</v>
      </c>
      <c r="K9" s="32">
        <f>VLOOKUP(E9,照明設備稼働時間!$A$4:$E$31,5,FALSE)</f>
        <v>2299</v>
      </c>
      <c r="L9" s="32" t="str">
        <f t="shared" si="0"/>
        <v>FHF32W2埋込W300</v>
      </c>
      <c r="M9" s="14">
        <f>VLOOKUP(L9,照明器具一覧!$B$4:$F$129,5,FALSE)</f>
        <v>71</v>
      </c>
      <c r="N9" s="14">
        <v>1</v>
      </c>
      <c r="O9" s="142">
        <f t="shared" si="1"/>
        <v>816.14499999999998</v>
      </c>
    </row>
    <row r="10" spans="1:15">
      <c r="A10" s="2" t="s">
        <v>631</v>
      </c>
      <c r="B10" s="78" t="s">
        <v>1499</v>
      </c>
      <c r="C10" s="48" t="s">
        <v>284</v>
      </c>
      <c r="D10" s="29" t="s">
        <v>389</v>
      </c>
      <c r="E10" s="29" t="s">
        <v>1507</v>
      </c>
      <c r="F10" s="49" t="s">
        <v>174</v>
      </c>
      <c r="G10" s="50" t="s">
        <v>19</v>
      </c>
      <c r="H10" s="34">
        <v>1</v>
      </c>
      <c r="I10" s="29" t="s">
        <v>439</v>
      </c>
      <c r="J10" s="24">
        <v>1</v>
      </c>
      <c r="K10" s="32">
        <f>VLOOKUP(E10,照明設備稼働時間!$A$4:$E$31,5,FALSE)</f>
        <v>0</v>
      </c>
      <c r="L10" s="32" t="str">
        <f t="shared" si="0"/>
        <v>FHF16W1片反射笠付（高出力）</v>
      </c>
      <c r="M10" s="14">
        <f>VLOOKUP(L10,照明器具一覧!$B$4:$F$129,5,FALSE)</f>
        <v>26</v>
      </c>
      <c r="N10" s="14">
        <v>1</v>
      </c>
      <c r="O10" s="142">
        <f t="shared" si="1"/>
        <v>0</v>
      </c>
    </row>
    <row r="11" spans="1:15">
      <c r="A11" s="2" t="s">
        <v>632</v>
      </c>
      <c r="B11" s="78" t="s">
        <v>1499</v>
      </c>
      <c r="C11" s="48" t="s">
        <v>285</v>
      </c>
      <c r="D11" s="29" t="s">
        <v>389</v>
      </c>
      <c r="E11" s="29" t="s">
        <v>601</v>
      </c>
      <c r="F11" s="49" t="s">
        <v>262</v>
      </c>
      <c r="G11" s="50" t="s">
        <v>21</v>
      </c>
      <c r="H11" s="34">
        <v>1</v>
      </c>
      <c r="I11" s="29" t="s">
        <v>551</v>
      </c>
      <c r="J11" s="24">
        <v>2</v>
      </c>
      <c r="K11" s="32">
        <f>VLOOKUP(E11,照明設備稼働時間!$A$4:$E$31,5,FALSE)</f>
        <v>2299</v>
      </c>
      <c r="L11" s="32" t="str">
        <f t="shared" si="0"/>
        <v>FHF32W1階段灯　非常灯付</v>
      </c>
      <c r="M11" s="14">
        <f>VLOOKUP(L11,照明器具一覧!$B$4:$F$129,5,FALSE)</f>
        <v>36</v>
      </c>
      <c r="N11" s="14">
        <v>1</v>
      </c>
      <c r="O11" s="142">
        <f t="shared" si="1"/>
        <v>165.52799999999999</v>
      </c>
    </row>
    <row r="12" spans="1:15">
      <c r="A12" s="2" t="s">
        <v>633</v>
      </c>
      <c r="B12" s="78" t="s">
        <v>1499</v>
      </c>
      <c r="C12" s="48" t="s">
        <v>282</v>
      </c>
      <c r="D12" s="29" t="s">
        <v>389</v>
      </c>
      <c r="E12" s="29" t="s">
        <v>603</v>
      </c>
      <c r="F12" s="49" t="s">
        <v>456</v>
      </c>
      <c r="G12" s="50" t="s">
        <v>21</v>
      </c>
      <c r="H12" s="34">
        <v>1</v>
      </c>
      <c r="I12" s="29" t="s">
        <v>301</v>
      </c>
      <c r="J12" s="24">
        <v>1</v>
      </c>
      <c r="K12" s="32">
        <f>VLOOKUP(E12,照明設備稼働時間!$A$4:$E$31,5,FALSE)</f>
        <v>968</v>
      </c>
      <c r="L12" s="32" t="str">
        <f t="shared" si="0"/>
        <v>FHF32W1逆富士</v>
      </c>
      <c r="M12" s="14">
        <f>VLOOKUP(L12,照明器具一覧!$B$4:$F$129,5,FALSE)</f>
        <v>36</v>
      </c>
      <c r="N12" s="14">
        <v>1</v>
      </c>
      <c r="O12" s="142">
        <f t="shared" si="1"/>
        <v>34.847999999999999</v>
      </c>
    </row>
    <row r="13" spans="1:15">
      <c r="A13" s="2" t="s">
        <v>634</v>
      </c>
      <c r="B13" s="78" t="s">
        <v>1499</v>
      </c>
      <c r="C13" s="48"/>
      <c r="D13" s="29" t="s">
        <v>389</v>
      </c>
      <c r="E13" s="29" t="s">
        <v>603</v>
      </c>
      <c r="F13" s="49" t="s">
        <v>457</v>
      </c>
      <c r="G13" s="50" t="s">
        <v>448</v>
      </c>
      <c r="H13" s="34">
        <v>1</v>
      </c>
      <c r="I13" s="29" t="s">
        <v>12</v>
      </c>
      <c r="J13" s="24">
        <v>1</v>
      </c>
      <c r="K13" s="32">
        <f>VLOOKUP(E13,照明設備稼働時間!$A$4:$E$31,5,FALSE)</f>
        <v>968</v>
      </c>
      <c r="L13" s="32" t="str">
        <f t="shared" si="0"/>
        <v>FL20W1ブラケット</v>
      </c>
      <c r="M13" s="14">
        <f>VLOOKUP(L13,照明器具一覧!$B$4:$F$129,5,FALSE)</f>
        <v>23</v>
      </c>
      <c r="N13" s="14">
        <v>1</v>
      </c>
      <c r="O13" s="142">
        <f t="shared" si="1"/>
        <v>22.263999999999999</v>
      </c>
    </row>
    <row r="14" spans="1:15">
      <c r="A14" s="2" t="s">
        <v>635</v>
      </c>
      <c r="B14" s="78" t="s">
        <v>1499</v>
      </c>
      <c r="C14" s="48"/>
      <c r="D14" s="29" t="s">
        <v>389</v>
      </c>
      <c r="E14" s="29" t="s">
        <v>601</v>
      </c>
      <c r="F14" s="49" t="s">
        <v>173</v>
      </c>
      <c r="G14" s="50" t="s">
        <v>448</v>
      </c>
      <c r="H14" s="34">
        <v>1</v>
      </c>
      <c r="I14" s="29" t="s">
        <v>12</v>
      </c>
      <c r="J14" s="24">
        <v>1</v>
      </c>
      <c r="K14" s="32">
        <f>VLOOKUP(E14,照明設備稼働時間!$A$4:$E$31,5,FALSE)</f>
        <v>2299</v>
      </c>
      <c r="L14" s="32" t="str">
        <f t="shared" si="0"/>
        <v>FL20W1ブラケット</v>
      </c>
      <c r="M14" s="14">
        <f>VLOOKUP(L14,照明器具一覧!$B$4:$F$129,5,FALSE)</f>
        <v>23</v>
      </c>
      <c r="N14" s="14">
        <v>1</v>
      </c>
      <c r="O14" s="142">
        <f t="shared" si="1"/>
        <v>52.877000000000002</v>
      </c>
    </row>
    <row r="15" spans="1:15">
      <c r="A15" s="2" t="s">
        <v>636</v>
      </c>
      <c r="B15" s="78" t="s">
        <v>1499</v>
      </c>
      <c r="C15" s="48" t="s">
        <v>283</v>
      </c>
      <c r="D15" s="29" t="s">
        <v>389</v>
      </c>
      <c r="E15" s="29" t="s">
        <v>601</v>
      </c>
      <c r="F15" s="49" t="s">
        <v>390</v>
      </c>
      <c r="G15" s="50" t="s">
        <v>384</v>
      </c>
      <c r="H15" s="34">
        <v>1</v>
      </c>
      <c r="I15" s="29" t="s">
        <v>302</v>
      </c>
      <c r="J15" s="24">
        <v>2</v>
      </c>
      <c r="K15" s="32">
        <f>VLOOKUP(E15,照明設備稼働時間!$A$4:$E$31,5,FALSE)</f>
        <v>2299</v>
      </c>
      <c r="L15" s="32" t="str">
        <f t="shared" si="0"/>
        <v>FHF32W1埋込W190</v>
      </c>
      <c r="M15" s="14">
        <f>VLOOKUP(L15,照明器具一覧!$B$4:$F$129,5,FALSE)</f>
        <v>36</v>
      </c>
      <c r="N15" s="14">
        <v>1</v>
      </c>
      <c r="O15" s="142">
        <f t="shared" si="1"/>
        <v>165.52799999999999</v>
      </c>
    </row>
    <row r="16" spans="1:15">
      <c r="A16" s="2" t="s">
        <v>637</v>
      </c>
      <c r="B16" s="78" t="s">
        <v>1499</v>
      </c>
      <c r="C16" s="48" t="s">
        <v>295</v>
      </c>
      <c r="D16" s="29" t="s">
        <v>389</v>
      </c>
      <c r="E16" s="29" t="s">
        <v>600</v>
      </c>
      <c r="F16" s="49" t="s">
        <v>454</v>
      </c>
      <c r="G16" s="50" t="s">
        <v>21</v>
      </c>
      <c r="H16" s="34">
        <v>2</v>
      </c>
      <c r="I16" s="29" t="s">
        <v>308</v>
      </c>
      <c r="J16" s="24">
        <v>3</v>
      </c>
      <c r="K16" s="32">
        <f>VLOOKUP(E16,照明設備稼働時間!$A$4:$E$31,5,FALSE)</f>
        <v>2299</v>
      </c>
      <c r="L16" s="32" t="str">
        <f t="shared" si="0"/>
        <v>FHF32W2埋込W300</v>
      </c>
      <c r="M16" s="14">
        <f>VLOOKUP(L16,照明器具一覧!$B$4:$F$129,5,FALSE)</f>
        <v>71</v>
      </c>
      <c r="N16" s="14">
        <v>1</v>
      </c>
      <c r="O16" s="142">
        <f t="shared" si="1"/>
        <v>489.68700000000001</v>
      </c>
    </row>
    <row r="17" spans="1:15">
      <c r="A17" s="2" t="s">
        <v>638</v>
      </c>
      <c r="B17" s="78" t="s">
        <v>1499</v>
      </c>
      <c r="C17" s="48" t="s">
        <v>431</v>
      </c>
      <c r="D17" s="29" t="s">
        <v>389</v>
      </c>
      <c r="E17" s="29" t="s">
        <v>601</v>
      </c>
      <c r="F17" s="49" t="s">
        <v>266</v>
      </c>
      <c r="G17" s="50" t="s">
        <v>21</v>
      </c>
      <c r="H17" s="34">
        <v>1</v>
      </c>
      <c r="I17" s="29" t="s">
        <v>302</v>
      </c>
      <c r="J17" s="24">
        <v>27</v>
      </c>
      <c r="K17" s="32">
        <f>VLOOKUP(E17,照明設備稼働時間!$A$4:$E$31,5,FALSE)</f>
        <v>2299</v>
      </c>
      <c r="L17" s="32" t="str">
        <f t="shared" si="0"/>
        <v>FHF32W1埋込W190</v>
      </c>
      <c r="M17" s="14">
        <f>VLOOKUP(L17,照明器具一覧!$B$4:$F$129,5,FALSE)</f>
        <v>36</v>
      </c>
      <c r="N17" s="14">
        <v>1</v>
      </c>
      <c r="O17" s="142">
        <f t="shared" si="1"/>
        <v>2234.6280000000002</v>
      </c>
    </row>
    <row r="18" spans="1:15">
      <c r="A18" s="2" t="s">
        <v>639</v>
      </c>
      <c r="B18" s="78" t="s">
        <v>1499</v>
      </c>
      <c r="C18" s="48" t="s">
        <v>289</v>
      </c>
      <c r="D18" s="29" t="s">
        <v>389</v>
      </c>
      <c r="E18" s="29" t="s">
        <v>265</v>
      </c>
      <c r="F18" s="49" t="s">
        <v>265</v>
      </c>
      <c r="G18" s="50" t="s">
        <v>21</v>
      </c>
      <c r="H18" s="34">
        <v>1</v>
      </c>
      <c r="I18" s="29" t="s">
        <v>89</v>
      </c>
      <c r="J18" s="24">
        <v>4</v>
      </c>
      <c r="K18" s="32">
        <f>VLOOKUP(E18,照明設備稼働時間!$A$4:$E$31,5,FALSE)</f>
        <v>2602</v>
      </c>
      <c r="L18" s="32" t="str">
        <f t="shared" si="0"/>
        <v>FHF32W1トラフ</v>
      </c>
      <c r="M18" s="14">
        <f>VLOOKUP(L18,照明器具一覧!$B$4:$F$129,5,FALSE)</f>
        <v>36</v>
      </c>
      <c r="N18" s="14">
        <v>1</v>
      </c>
      <c r="O18" s="142">
        <f t="shared" si="1"/>
        <v>374.68799999999999</v>
      </c>
    </row>
    <row r="19" spans="1:15">
      <c r="A19" s="2" t="s">
        <v>640</v>
      </c>
      <c r="B19" s="78" t="s">
        <v>1499</v>
      </c>
      <c r="C19" s="48"/>
      <c r="D19" s="29" t="s">
        <v>389</v>
      </c>
      <c r="E19" s="29" t="s">
        <v>265</v>
      </c>
      <c r="F19" s="49" t="s">
        <v>265</v>
      </c>
      <c r="G19" s="50" t="s">
        <v>373</v>
      </c>
      <c r="H19" s="34">
        <v>1</v>
      </c>
      <c r="I19" s="29" t="s">
        <v>73</v>
      </c>
      <c r="J19" s="24">
        <v>4</v>
      </c>
      <c r="K19" s="32">
        <f>VLOOKUP(E19,照明設備稼働時間!$A$4:$E$31,5,FALSE)</f>
        <v>2602</v>
      </c>
      <c r="L19" s="32" t="str">
        <f t="shared" si="0"/>
        <v>IL60W1ダウンライト</v>
      </c>
      <c r="M19" s="14">
        <f>VLOOKUP(L19,照明器具一覧!$B$4:$F$129,5,FALSE)</f>
        <v>60</v>
      </c>
      <c r="N19" s="14">
        <v>1</v>
      </c>
      <c r="O19" s="142">
        <f t="shared" si="1"/>
        <v>624.48</v>
      </c>
    </row>
    <row r="20" spans="1:15">
      <c r="A20" s="2" t="s">
        <v>641</v>
      </c>
      <c r="B20" s="78" t="s">
        <v>1499</v>
      </c>
      <c r="C20" s="48"/>
      <c r="D20" s="29" t="s">
        <v>343</v>
      </c>
      <c r="E20" s="29" t="s">
        <v>601</v>
      </c>
      <c r="F20" s="49" t="s">
        <v>495</v>
      </c>
      <c r="G20" s="50" t="s">
        <v>72</v>
      </c>
      <c r="H20" s="34">
        <v>1</v>
      </c>
      <c r="I20" s="29" t="s">
        <v>73</v>
      </c>
      <c r="J20" s="24">
        <v>5</v>
      </c>
      <c r="K20" s="32">
        <f>VLOOKUP(E20,照明設備稼働時間!$A$4:$E$31,5,FALSE)</f>
        <v>2299</v>
      </c>
      <c r="L20" s="32" t="str">
        <f t="shared" si="0"/>
        <v>IL60W1ダウンライト</v>
      </c>
      <c r="M20" s="14">
        <f>VLOOKUP(L20,照明器具一覧!$B$4:$F$129,5,FALSE)</f>
        <v>60</v>
      </c>
      <c r="N20" s="14">
        <v>1</v>
      </c>
      <c r="O20" s="142">
        <f t="shared" si="1"/>
        <v>689.7</v>
      </c>
    </row>
    <row r="21" spans="1:15">
      <c r="A21" s="2" t="s">
        <v>642</v>
      </c>
      <c r="B21" s="78" t="s">
        <v>1499</v>
      </c>
      <c r="C21" s="48"/>
      <c r="D21" s="29" t="s">
        <v>343</v>
      </c>
      <c r="E21" s="29" t="s">
        <v>601</v>
      </c>
      <c r="F21" s="49" t="s">
        <v>417</v>
      </c>
      <c r="G21" s="50" t="s">
        <v>449</v>
      </c>
      <c r="H21" s="34">
        <v>1</v>
      </c>
      <c r="I21" s="29" t="s">
        <v>73</v>
      </c>
      <c r="J21" s="24">
        <v>3</v>
      </c>
      <c r="K21" s="32">
        <f>VLOOKUP(E21,照明設備稼働時間!$A$4:$E$31,5,FALSE)</f>
        <v>2299</v>
      </c>
      <c r="L21" s="32" t="str">
        <f t="shared" si="0"/>
        <v>FPL18W1ダウンライト</v>
      </c>
      <c r="M21" s="14">
        <f>VLOOKUP(L21,照明器具一覧!$B$4:$F$129,5,FALSE)</f>
        <v>20</v>
      </c>
      <c r="N21" s="14">
        <v>1</v>
      </c>
      <c r="O21" s="142">
        <f t="shared" si="1"/>
        <v>137.94</v>
      </c>
    </row>
    <row r="22" spans="1:15">
      <c r="A22" s="2" t="s">
        <v>643</v>
      </c>
      <c r="B22" s="78" t="s">
        <v>1499</v>
      </c>
      <c r="C22" s="48" t="s">
        <v>431</v>
      </c>
      <c r="D22" s="29" t="s">
        <v>389</v>
      </c>
      <c r="E22" s="29" t="s">
        <v>601</v>
      </c>
      <c r="F22" s="49" t="s">
        <v>391</v>
      </c>
      <c r="G22" s="50" t="s">
        <v>21</v>
      </c>
      <c r="H22" s="34">
        <v>1</v>
      </c>
      <c r="I22" s="29" t="s">
        <v>302</v>
      </c>
      <c r="J22" s="24">
        <v>14</v>
      </c>
      <c r="K22" s="32">
        <f>VLOOKUP(E22,照明設備稼働時間!$A$4:$E$31,5,FALSE)</f>
        <v>2299</v>
      </c>
      <c r="L22" s="32" t="str">
        <f t="shared" si="0"/>
        <v>FHF32W1埋込W190</v>
      </c>
      <c r="M22" s="14">
        <f>VLOOKUP(L22,照明器具一覧!$B$4:$F$129,5,FALSE)</f>
        <v>36</v>
      </c>
      <c r="N22" s="14">
        <v>1</v>
      </c>
      <c r="O22" s="142">
        <f t="shared" si="1"/>
        <v>1158.6959999999999</v>
      </c>
    </row>
    <row r="23" spans="1:15">
      <c r="A23" s="2" t="s">
        <v>644</v>
      </c>
      <c r="B23" s="78" t="s">
        <v>1499</v>
      </c>
      <c r="C23" s="48" t="s">
        <v>431</v>
      </c>
      <c r="D23" s="29" t="s">
        <v>389</v>
      </c>
      <c r="E23" s="29" t="s">
        <v>601</v>
      </c>
      <c r="F23" s="49" t="s">
        <v>392</v>
      </c>
      <c r="G23" s="50" t="s">
        <v>21</v>
      </c>
      <c r="H23" s="34">
        <v>1</v>
      </c>
      <c r="I23" s="29" t="s">
        <v>302</v>
      </c>
      <c r="J23" s="24">
        <v>16</v>
      </c>
      <c r="K23" s="32">
        <f>VLOOKUP(E23,照明設備稼働時間!$A$4:$E$31,5,FALSE)</f>
        <v>2299</v>
      </c>
      <c r="L23" s="32" t="str">
        <f t="shared" si="0"/>
        <v>FHF32W1埋込W190</v>
      </c>
      <c r="M23" s="14">
        <f>VLOOKUP(L23,照明器具一覧!$B$4:$F$129,5,FALSE)</f>
        <v>36</v>
      </c>
      <c r="N23" s="14">
        <v>1</v>
      </c>
      <c r="O23" s="142">
        <f t="shared" si="1"/>
        <v>1324.2239999999999</v>
      </c>
    </row>
    <row r="24" spans="1:15">
      <c r="A24" s="2" t="s">
        <v>645</v>
      </c>
      <c r="B24" s="78" t="s">
        <v>1499</v>
      </c>
      <c r="C24" s="48" t="s">
        <v>283</v>
      </c>
      <c r="D24" s="29" t="s">
        <v>389</v>
      </c>
      <c r="E24" s="29" t="s">
        <v>1508</v>
      </c>
      <c r="F24" s="49" t="s">
        <v>57</v>
      </c>
      <c r="G24" s="50" t="s">
        <v>21</v>
      </c>
      <c r="H24" s="34">
        <v>1</v>
      </c>
      <c r="I24" s="29" t="s">
        <v>302</v>
      </c>
      <c r="J24" s="24">
        <v>2</v>
      </c>
      <c r="K24" s="32">
        <f>VLOOKUP(E24,照明設備稼働時間!$A$4:$E$31,5,FALSE)</f>
        <v>8760</v>
      </c>
      <c r="L24" s="32" t="str">
        <f t="shared" si="0"/>
        <v>FHF32W1埋込W190</v>
      </c>
      <c r="M24" s="14">
        <f>VLOOKUP(L24,照明器具一覧!$B$4:$F$129,5,FALSE)</f>
        <v>36</v>
      </c>
      <c r="N24" s="14">
        <v>1</v>
      </c>
      <c r="O24" s="142">
        <f t="shared" si="1"/>
        <v>630.72</v>
      </c>
    </row>
    <row r="25" spans="1:15">
      <c r="A25" s="2" t="s">
        <v>646</v>
      </c>
      <c r="B25" s="78" t="s">
        <v>1499</v>
      </c>
      <c r="C25" s="48"/>
      <c r="D25" s="29" t="s">
        <v>389</v>
      </c>
      <c r="E25" s="29" t="s">
        <v>1508</v>
      </c>
      <c r="F25" s="49" t="s">
        <v>57</v>
      </c>
      <c r="G25" s="50" t="s">
        <v>373</v>
      </c>
      <c r="H25" s="34">
        <v>1</v>
      </c>
      <c r="I25" s="29" t="s">
        <v>73</v>
      </c>
      <c r="J25" s="24">
        <v>1</v>
      </c>
      <c r="K25" s="32">
        <f>VLOOKUP(E25,照明設備稼働時間!$A$4:$E$31,5,FALSE)</f>
        <v>8760</v>
      </c>
      <c r="L25" s="32" t="str">
        <f t="shared" si="0"/>
        <v>IL60W1ダウンライト</v>
      </c>
      <c r="M25" s="14">
        <f>VLOOKUP(L25,照明器具一覧!$B$4:$F$129,5,FALSE)</f>
        <v>60</v>
      </c>
      <c r="N25" s="14">
        <v>1</v>
      </c>
      <c r="O25" s="142">
        <f t="shared" si="1"/>
        <v>525.6</v>
      </c>
    </row>
    <row r="26" spans="1:15">
      <c r="A26" s="2" t="s">
        <v>647</v>
      </c>
      <c r="B26" s="78" t="s">
        <v>1499</v>
      </c>
      <c r="C26" s="48" t="s">
        <v>285</v>
      </c>
      <c r="D26" s="29" t="s">
        <v>389</v>
      </c>
      <c r="E26" s="29" t="s">
        <v>601</v>
      </c>
      <c r="F26" s="49" t="s">
        <v>267</v>
      </c>
      <c r="G26" s="50" t="s">
        <v>21</v>
      </c>
      <c r="H26" s="34">
        <v>1</v>
      </c>
      <c r="I26" s="29" t="s">
        <v>551</v>
      </c>
      <c r="J26" s="24">
        <v>2</v>
      </c>
      <c r="K26" s="32">
        <f>VLOOKUP(E26,照明設備稼働時間!$A$4:$E$31,5,FALSE)</f>
        <v>2299</v>
      </c>
      <c r="L26" s="32" t="str">
        <f t="shared" si="0"/>
        <v>FHF32W1階段灯　非常灯付</v>
      </c>
      <c r="M26" s="14">
        <f>VLOOKUP(L26,照明器具一覧!$B$4:$F$129,5,FALSE)</f>
        <v>36</v>
      </c>
      <c r="N26" s="14">
        <v>1</v>
      </c>
      <c r="O26" s="142">
        <f t="shared" si="1"/>
        <v>165.52799999999999</v>
      </c>
    </row>
    <row r="27" spans="1:15">
      <c r="A27" s="2" t="s">
        <v>648</v>
      </c>
      <c r="B27" s="78" t="s">
        <v>1499</v>
      </c>
      <c r="C27" s="48"/>
      <c r="D27" s="29" t="s">
        <v>389</v>
      </c>
      <c r="E27" s="29" t="s">
        <v>612</v>
      </c>
      <c r="F27" s="49" t="s">
        <v>473</v>
      </c>
      <c r="G27" s="50" t="s">
        <v>373</v>
      </c>
      <c r="H27" s="34">
        <v>1</v>
      </c>
      <c r="I27" s="29" t="s">
        <v>441</v>
      </c>
      <c r="J27" s="24">
        <v>1</v>
      </c>
      <c r="K27" s="32">
        <f>VLOOKUP(E27,照明設備稼働時間!$A$4:$E$31,5,FALSE)</f>
        <v>484</v>
      </c>
      <c r="L27" s="32" t="str">
        <f t="shared" si="0"/>
        <v>IL60W1コップ型</v>
      </c>
      <c r="M27" s="14">
        <f>VLOOKUP(L27,照明器具一覧!$B$4:$F$129,5,FALSE)</f>
        <v>60</v>
      </c>
      <c r="N27" s="14">
        <v>1</v>
      </c>
      <c r="O27" s="142">
        <f t="shared" si="1"/>
        <v>29.04</v>
      </c>
    </row>
    <row r="28" spans="1:15">
      <c r="A28" s="2" t="s">
        <v>649</v>
      </c>
      <c r="B28" s="78" t="s">
        <v>1499</v>
      </c>
      <c r="C28" s="48" t="s">
        <v>294</v>
      </c>
      <c r="D28" s="29" t="s">
        <v>389</v>
      </c>
      <c r="E28" s="29" t="s">
        <v>606</v>
      </c>
      <c r="F28" s="49" t="s">
        <v>458</v>
      </c>
      <c r="G28" s="50" t="s">
        <v>21</v>
      </c>
      <c r="H28" s="34">
        <v>1</v>
      </c>
      <c r="I28" s="29" t="s">
        <v>251</v>
      </c>
      <c r="J28" s="24">
        <v>2</v>
      </c>
      <c r="K28" s="32">
        <f>VLOOKUP(E28,照明設備稼働時間!$A$4:$E$31,5,FALSE)</f>
        <v>242</v>
      </c>
      <c r="L28" s="32" t="str">
        <f t="shared" si="0"/>
        <v>FHF32W1笠付</v>
      </c>
      <c r="M28" s="14">
        <f>VLOOKUP(L28,照明器具一覧!$B$4:$F$129,5,FALSE)</f>
        <v>36</v>
      </c>
      <c r="N28" s="14">
        <v>1</v>
      </c>
      <c r="O28" s="142">
        <f t="shared" si="1"/>
        <v>17.423999999999999</v>
      </c>
    </row>
    <row r="29" spans="1:15">
      <c r="A29" s="2" t="s">
        <v>650</v>
      </c>
      <c r="B29" s="78" t="s">
        <v>1499</v>
      </c>
      <c r="C29" s="48" t="s">
        <v>432</v>
      </c>
      <c r="D29" s="29" t="s">
        <v>389</v>
      </c>
      <c r="E29" s="29" t="s">
        <v>606</v>
      </c>
      <c r="F29" s="49" t="s">
        <v>458</v>
      </c>
      <c r="G29" s="50" t="s">
        <v>21</v>
      </c>
      <c r="H29" s="34">
        <v>2</v>
      </c>
      <c r="I29" s="29" t="s">
        <v>251</v>
      </c>
      <c r="J29" s="24">
        <v>1</v>
      </c>
      <c r="K29" s="32">
        <f>VLOOKUP(E29,照明設備稼働時間!$A$4:$E$31,5,FALSE)</f>
        <v>242</v>
      </c>
      <c r="L29" s="32" t="str">
        <f t="shared" si="0"/>
        <v>FHF32W2笠付</v>
      </c>
      <c r="M29" s="14">
        <f>VLOOKUP(L29,照明器具一覧!$B$4:$F$129,5,FALSE)</f>
        <v>36</v>
      </c>
      <c r="N29" s="14">
        <v>1</v>
      </c>
      <c r="O29" s="142">
        <f t="shared" si="1"/>
        <v>8.7119999999999997</v>
      </c>
    </row>
    <row r="30" spans="1:15">
      <c r="A30" s="2" t="s">
        <v>651</v>
      </c>
      <c r="B30" s="78" t="s">
        <v>1499</v>
      </c>
      <c r="C30" s="48" t="s">
        <v>291</v>
      </c>
      <c r="D30" s="29" t="s">
        <v>389</v>
      </c>
      <c r="E30" s="29" t="s">
        <v>606</v>
      </c>
      <c r="F30" s="49" t="s">
        <v>458</v>
      </c>
      <c r="G30" s="50" t="s">
        <v>21</v>
      </c>
      <c r="H30" s="34">
        <v>1</v>
      </c>
      <c r="I30" s="29" t="s">
        <v>253</v>
      </c>
      <c r="J30" s="24">
        <v>1</v>
      </c>
      <c r="K30" s="32">
        <f>VLOOKUP(E30,照明設備稼働時間!$A$4:$E$31,5,FALSE)</f>
        <v>242</v>
      </c>
      <c r="L30" s="32" t="str">
        <f t="shared" si="0"/>
        <v>FHF32W1片反射笠付</v>
      </c>
      <c r="M30" s="14">
        <f>VLOOKUP(L30,照明器具一覧!$B$4:$F$129,5,FALSE)</f>
        <v>36</v>
      </c>
      <c r="N30" s="14">
        <v>1</v>
      </c>
      <c r="O30" s="142">
        <f t="shared" si="1"/>
        <v>8.7119999999999997</v>
      </c>
    </row>
    <row r="31" spans="1:15">
      <c r="A31" s="2" t="s">
        <v>652</v>
      </c>
      <c r="B31" s="78" t="s">
        <v>1499</v>
      </c>
      <c r="C31" s="48" t="s">
        <v>291</v>
      </c>
      <c r="D31" s="29" t="s">
        <v>389</v>
      </c>
      <c r="E31" s="29" t="s">
        <v>1507</v>
      </c>
      <c r="F31" s="49" t="s">
        <v>38</v>
      </c>
      <c r="G31" s="50" t="s">
        <v>21</v>
      </c>
      <c r="H31" s="34">
        <v>1</v>
      </c>
      <c r="I31" s="29" t="s">
        <v>253</v>
      </c>
      <c r="J31" s="24">
        <v>1</v>
      </c>
      <c r="K31" s="32">
        <f>VLOOKUP(E31,照明設備稼働時間!$A$4:$E$31,5,FALSE)</f>
        <v>0</v>
      </c>
      <c r="L31" s="32" t="str">
        <f t="shared" si="0"/>
        <v>FHF32W1片反射笠付</v>
      </c>
      <c r="M31" s="14">
        <f>VLOOKUP(L31,照明器具一覧!$B$4:$F$129,5,FALSE)</f>
        <v>36</v>
      </c>
      <c r="N31" s="14">
        <v>1</v>
      </c>
      <c r="O31" s="142">
        <f t="shared" si="1"/>
        <v>0</v>
      </c>
    </row>
    <row r="32" spans="1:15">
      <c r="A32" s="2" t="s">
        <v>653</v>
      </c>
      <c r="B32" s="78" t="s">
        <v>1499</v>
      </c>
      <c r="C32" s="48" t="s">
        <v>432</v>
      </c>
      <c r="D32" s="29" t="s">
        <v>389</v>
      </c>
      <c r="E32" s="29" t="s">
        <v>600</v>
      </c>
      <c r="F32" s="49" t="s">
        <v>393</v>
      </c>
      <c r="G32" s="50" t="s">
        <v>21</v>
      </c>
      <c r="H32" s="34">
        <v>2</v>
      </c>
      <c r="I32" s="29" t="s">
        <v>251</v>
      </c>
      <c r="J32" s="24">
        <v>17</v>
      </c>
      <c r="K32" s="32">
        <f>VLOOKUP(E32,照明設備稼働時間!$A$4:$E$31,5,FALSE)</f>
        <v>2299</v>
      </c>
      <c r="L32" s="32" t="str">
        <f t="shared" si="0"/>
        <v>FHF32W2笠付</v>
      </c>
      <c r="M32" s="14">
        <f>VLOOKUP(L32,照明器具一覧!$B$4:$F$129,5,FALSE)</f>
        <v>36</v>
      </c>
      <c r="N32" s="14">
        <v>1</v>
      </c>
      <c r="O32" s="142">
        <f t="shared" si="1"/>
        <v>1406.9880000000001</v>
      </c>
    </row>
    <row r="33" spans="1:15">
      <c r="A33" s="2" t="s">
        <v>654</v>
      </c>
      <c r="B33" s="78" t="s">
        <v>1498</v>
      </c>
      <c r="C33" s="48"/>
      <c r="D33" s="29" t="s">
        <v>389</v>
      </c>
      <c r="E33" s="29" t="s">
        <v>600</v>
      </c>
      <c r="F33" s="49" t="s">
        <v>393</v>
      </c>
      <c r="G33" s="50" t="s">
        <v>75</v>
      </c>
      <c r="H33" s="34">
        <v>1</v>
      </c>
      <c r="I33" s="29" t="s">
        <v>88</v>
      </c>
      <c r="J33" s="24">
        <v>2</v>
      </c>
      <c r="K33" s="32">
        <f>VLOOKUP(E33,照明設備稼働時間!$A$4:$E$31,5,FALSE)</f>
        <v>2299</v>
      </c>
      <c r="L33" s="32" t="str">
        <f t="shared" si="0"/>
        <v>LED1笠付</v>
      </c>
      <c r="M33" s="14">
        <f>VLOOKUP(L33,照明器具一覧!$B$4:$F$129,5,FALSE)</f>
        <v>22</v>
      </c>
      <c r="N33" s="14">
        <v>1</v>
      </c>
      <c r="O33" s="142">
        <f t="shared" si="1"/>
        <v>101.15600000000001</v>
      </c>
    </row>
    <row r="34" spans="1:15">
      <c r="A34" s="2" t="s">
        <v>655</v>
      </c>
      <c r="B34" s="78" t="s">
        <v>1499</v>
      </c>
      <c r="C34" s="48" t="s">
        <v>294</v>
      </c>
      <c r="D34" s="29" t="s">
        <v>389</v>
      </c>
      <c r="E34" s="29" t="s">
        <v>600</v>
      </c>
      <c r="F34" s="49" t="s">
        <v>393</v>
      </c>
      <c r="G34" s="50" t="s">
        <v>21</v>
      </c>
      <c r="H34" s="34">
        <v>1</v>
      </c>
      <c r="I34" s="29" t="s">
        <v>251</v>
      </c>
      <c r="J34" s="24">
        <v>9</v>
      </c>
      <c r="K34" s="32">
        <f>VLOOKUP(E34,照明設備稼働時間!$A$4:$E$31,5,FALSE)</f>
        <v>2299</v>
      </c>
      <c r="L34" s="32" t="str">
        <f t="shared" si="0"/>
        <v>FHF32W1笠付</v>
      </c>
      <c r="M34" s="14">
        <f>VLOOKUP(L34,照明器具一覧!$B$4:$F$129,5,FALSE)</f>
        <v>36</v>
      </c>
      <c r="N34" s="14">
        <v>1</v>
      </c>
      <c r="O34" s="142">
        <f t="shared" si="1"/>
        <v>744.87599999999998</v>
      </c>
    </row>
    <row r="35" spans="1:15">
      <c r="A35" s="2" t="s">
        <v>656</v>
      </c>
      <c r="B35" s="78" t="s">
        <v>1499</v>
      </c>
      <c r="C35" s="48"/>
      <c r="D35" s="29" t="s">
        <v>389</v>
      </c>
      <c r="E35" s="29" t="s">
        <v>600</v>
      </c>
      <c r="F35" s="49" t="s">
        <v>393</v>
      </c>
      <c r="G35" s="50" t="s">
        <v>21</v>
      </c>
      <c r="H35" s="34">
        <v>1</v>
      </c>
      <c r="I35" s="29" t="s">
        <v>459</v>
      </c>
      <c r="J35" s="24">
        <v>4</v>
      </c>
      <c r="K35" s="32">
        <f>VLOOKUP(E35,照明設備稼働時間!$A$4:$E$31,5,FALSE)</f>
        <v>2299</v>
      </c>
      <c r="L35" s="32" t="str">
        <f t="shared" si="0"/>
        <v>FHF32W1笠付　チェーン吊</v>
      </c>
      <c r="M35" s="14">
        <f>VLOOKUP(L35,照明器具一覧!$B$4:$F$129,5,FALSE)</f>
        <v>36</v>
      </c>
      <c r="N35" s="14">
        <v>1</v>
      </c>
      <c r="O35" s="142">
        <f t="shared" si="1"/>
        <v>331.05599999999998</v>
      </c>
    </row>
    <row r="36" spans="1:15">
      <c r="A36" s="2" t="s">
        <v>657</v>
      </c>
      <c r="B36" s="78" t="s">
        <v>1499</v>
      </c>
      <c r="C36" s="48" t="s">
        <v>294</v>
      </c>
      <c r="D36" s="29" t="s">
        <v>389</v>
      </c>
      <c r="E36" s="29" t="s">
        <v>612</v>
      </c>
      <c r="F36" s="49" t="s">
        <v>394</v>
      </c>
      <c r="G36" s="50" t="s">
        <v>21</v>
      </c>
      <c r="H36" s="34">
        <v>1</v>
      </c>
      <c r="I36" s="29" t="s">
        <v>251</v>
      </c>
      <c r="J36" s="24">
        <v>3</v>
      </c>
      <c r="K36" s="32">
        <f>VLOOKUP(E36,照明設備稼働時間!$A$4:$E$31,5,FALSE)</f>
        <v>484</v>
      </c>
      <c r="L36" s="32" t="str">
        <f t="shared" si="0"/>
        <v>FHF32W1笠付</v>
      </c>
      <c r="M36" s="14">
        <f>VLOOKUP(L36,照明器具一覧!$B$4:$F$129,5,FALSE)</f>
        <v>36</v>
      </c>
      <c r="N36" s="14">
        <v>1</v>
      </c>
      <c r="O36" s="142">
        <f t="shared" si="1"/>
        <v>52.271999999999998</v>
      </c>
    </row>
    <row r="37" spans="1:15">
      <c r="A37" s="2" t="s">
        <v>658</v>
      </c>
      <c r="B37" s="78" t="s">
        <v>1499</v>
      </c>
      <c r="C37" s="48" t="s">
        <v>476</v>
      </c>
      <c r="D37" s="29" t="s">
        <v>389</v>
      </c>
      <c r="E37" s="29" t="s">
        <v>606</v>
      </c>
      <c r="F37" s="49" t="s">
        <v>475</v>
      </c>
      <c r="G37" s="50" t="s">
        <v>384</v>
      </c>
      <c r="H37" s="34">
        <v>1</v>
      </c>
      <c r="I37" s="29" t="s">
        <v>251</v>
      </c>
      <c r="J37" s="24">
        <v>1</v>
      </c>
      <c r="K37" s="32">
        <f>VLOOKUP(E37,照明設備稼働時間!$A$4:$E$31,5,FALSE)</f>
        <v>242</v>
      </c>
      <c r="L37" s="32" t="str">
        <f t="shared" si="0"/>
        <v>FHF32W1笠付</v>
      </c>
      <c r="M37" s="14">
        <f>VLOOKUP(L37,照明器具一覧!$B$4:$F$129,5,FALSE)</f>
        <v>36</v>
      </c>
      <c r="N37" s="14">
        <v>1</v>
      </c>
      <c r="O37" s="142">
        <f t="shared" si="1"/>
        <v>8.7119999999999997</v>
      </c>
    </row>
    <row r="38" spans="1:15">
      <c r="A38" s="2" t="s">
        <v>659</v>
      </c>
      <c r="B38" s="78" t="s">
        <v>1499</v>
      </c>
      <c r="C38" s="48" t="s">
        <v>87</v>
      </c>
      <c r="D38" s="29" t="s">
        <v>389</v>
      </c>
      <c r="E38" s="29" t="s">
        <v>606</v>
      </c>
      <c r="F38" s="49" t="s">
        <v>478</v>
      </c>
      <c r="G38" s="50" t="s">
        <v>384</v>
      </c>
      <c r="H38" s="34">
        <v>2</v>
      </c>
      <c r="I38" s="29" t="s">
        <v>377</v>
      </c>
      <c r="J38" s="24">
        <v>2</v>
      </c>
      <c r="K38" s="32">
        <f>VLOOKUP(E38,照明設備稼働時間!$A$4:$E$31,5,FALSE)</f>
        <v>242</v>
      </c>
      <c r="L38" s="32" t="str">
        <f t="shared" si="0"/>
        <v>FHF32W2埋込下面開放</v>
      </c>
      <c r="M38" s="14">
        <f>VLOOKUP(L38,照明器具一覧!$B$4:$F$129,5,FALSE)</f>
        <v>72</v>
      </c>
      <c r="N38" s="14">
        <v>1</v>
      </c>
      <c r="O38" s="142">
        <f t="shared" si="1"/>
        <v>34.847999999999999</v>
      </c>
    </row>
    <row r="39" spans="1:15">
      <c r="A39" s="2" t="s">
        <v>660</v>
      </c>
      <c r="B39" s="78" t="s">
        <v>1499</v>
      </c>
      <c r="C39" s="48" t="s">
        <v>28</v>
      </c>
      <c r="D39" s="29" t="s">
        <v>389</v>
      </c>
      <c r="E39" s="29" t="s">
        <v>606</v>
      </c>
      <c r="F39" s="49" t="s">
        <v>477</v>
      </c>
      <c r="G39" s="50" t="s">
        <v>384</v>
      </c>
      <c r="H39" s="34">
        <v>1</v>
      </c>
      <c r="I39" s="29" t="s">
        <v>377</v>
      </c>
      <c r="J39" s="24">
        <v>1</v>
      </c>
      <c r="K39" s="32">
        <f>VLOOKUP(E39,照明設備稼働時間!$A$4:$E$31,5,FALSE)</f>
        <v>242</v>
      </c>
      <c r="L39" s="32" t="str">
        <f t="shared" si="0"/>
        <v>FHF32W1埋込下面開放</v>
      </c>
      <c r="M39" s="14">
        <f>VLOOKUP(L39,照明器具一覧!$B$4:$F$129,5,FALSE)</f>
        <v>36</v>
      </c>
      <c r="N39" s="14">
        <v>1</v>
      </c>
      <c r="O39" s="142">
        <f t="shared" si="1"/>
        <v>8.7119999999999997</v>
      </c>
    </row>
    <row r="40" spans="1:15">
      <c r="A40" s="2" t="s">
        <v>661</v>
      </c>
      <c r="B40" s="78" t="s">
        <v>1499</v>
      </c>
      <c r="C40" s="48"/>
      <c r="D40" s="29" t="s">
        <v>389</v>
      </c>
      <c r="E40" s="29" t="s">
        <v>606</v>
      </c>
      <c r="F40" s="49" t="s">
        <v>474</v>
      </c>
      <c r="G40" s="50" t="s">
        <v>480</v>
      </c>
      <c r="H40" s="34"/>
      <c r="I40" s="29" t="s">
        <v>442</v>
      </c>
      <c r="J40" s="24">
        <v>5</v>
      </c>
      <c r="K40" s="32">
        <f>VLOOKUP(E40,照明設備稼働時間!$A$4:$E$31,5,FALSE)</f>
        <v>242</v>
      </c>
      <c r="L40" s="32" t="str">
        <f t="shared" si="0"/>
        <v>FL20W×4，FL10W×2埋込Φ800　乳白カバー</v>
      </c>
      <c r="M40" s="14">
        <f>VLOOKUP(L40,照明器具一覧!$B$4:$F$129,5,FALSE)</f>
        <v>100</v>
      </c>
      <c r="N40" s="14">
        <v>1</v>
      </c>
      <c r="O40" s="142">
        <f t="shared" si="1"/>
        <v>121</v>
      </c>
    </row>
    <row r="41" spans="1:15">
      <c r="A41" s="2" t="s">
        <v>662</v>
      </c>
      <c r="B41" s="78" t="s">
        <v>1499</v>
      </c>
      <c r="C41" s="48"/>
      <c r="D41" s="29" t="s">
        <v>389</v>
      </c>
      <c r="E41" s="29" t="s">
        <v>606</v>
      </c>
      <c r="F41" s="49" t="s">
        <v>479</v>
      </c>
      <c r="G41" s="50" t="s">
        <v>443</v>
      </c>
      <c r="H41" s="34">
        <v>1</v>
      </c>
      <c r="I41" s="29" t="s">
        <v>73</v>
      </c>
      <c r="J41" s="24">
        <v>4</v>
      </c>
      <c r="K41" s="32">
        <f>VLOOKUP(E41,照明設備稼働時間!$A$4:$E$31,5,FALSE)</f>
        <v>242</v>
      </c>
      <c r="L41" s="32" t="str">
        <f t="shared" si="0"/>
        <v>IL40W1ダウンライト</v>
      </c>
      <c r="M41" s="14">
        <f>VLOOKUP(L41,照明器具一覧!$B$4:$F$129,5,FALSE)</f>
        <v>40</v>
      </c>
      <c r="N41" s="14">
        <v>1</v>
      </c>
      <c r="O41" s="142">
        <f t="shared" si="1"/>
        <v>38.72</v>
      </c>
    </row>
    <row r="42" spans="1:15">
      <c r="A42" s="2" t="s">
        <v>663</v>
      </c>
      <c r="B42" s="78" t="s">
        <v>1499</v>
      </c>
      <c r="C42" s="48" t="s">
        <v>282</v>
      </c>
      <c r="D42" s="29" t="s">
        <v>389</v>
      </c>
      <c r="E42" s="29" t="s">
        <v>44</v>
      </c>
      <c r="F42" s="49" t="s">
        <v>395</v>
      </c>
      <c r="G42" s="50" t="s">
        <v>21</v>
      </c>
      <c r="H42" s="34">
        <v>1</v>
      </c>
      <c r="I42" s="29" t="s">
        <v>301</v>
      </c>
      <c r="J42" s="24">
        <v>4</v>
      </c>
      <c r="K42" s="32">
        <f>VLOOKUP(E42,照明設備稼働時間!$A$4:$E$31,5,FALSE)</f>
        <v>242</v>
      </c>
      <c r="L42" s="32" t="str">
        <f t="shared" si="0"/>
        <v>FHF32W1逆富士</v>
      </c>
      <c r="M42" s="14">
        <f>VLOOKUP(L42,照明器具一覧!$B$4:$F$129,5,FALSE)</f>
        <v>36</v>
      </c>
      <c r="N42" s="14">
        <v>1</v>
      </c>
      <c r="O42" s="142">
        <f t="shared" si="1"/>
        <v>34.847999999999999</v>
      </c>
    </row>
    <row r="43" spans="1:15">
      <c r="A43" s="2" t="s">
        <v>664</v>
      </c>
      <c r="B43" s="78" t="s">
        <v>1499</v>
      </c>
      <c r="C43" s="48" t="s">
        <v>283</v>
      </c>
      <c r="D43" s="29" t="s">
        <v>389</v>
      </c>
      <c r="E43" s="29" t="s">
        <v>606</v>
      </c>
      <c r="F43" s="49" t="s">
        <v>272</v>
      </c>
      <c r="G43" s="50" t="s">
        <v>21</v>
      </c>
      <c r="H43" s="34">
        <v>1</v>
      </c>
      <c r="I43" s="29" t="s">
        <v>302</v>
      </c>
      <c r="J43" s="24">
        <v>5</v>
      </c>
      <c r="K43" s="32">
        <f>VLOOKUP(E43,照明設備稼働時間!$A$4:$E$31,5,FALSE)</f>
        <v>242</v>
      </c>
      <c r="L43" s="32" t="str">
        <f t="shared" si="0"/>
        <v>FHF32W1埋込W190</v>
      </c>
      <c r="M43" s="14">
        <f>VLOOKUP(L43,照明器具一覧!$B$4:$F$129,5,FALSE)</f>
        <v>36</v>
      </c>
      <c r="N43" s="14">
        <v>1</v>
      </c>
      <c r="O43" s="142">
        <f t="shared" si="1"/>
        <v>43.56</v>
      </c>
    </row>
    <row r="44" spans="1:15">
      <c r="A44" s="2" t="s">
        <v>665</v>
      </c>
      <c r="B44" s="78" t="s">
        <v>1499</v>
      </c>
      <c r="C44" s="48" t="s">
        <v>432</v>
      </c>
      <c r="D44" s="29" t="s">
        <v>389</v>
      </c>
      <c r="E44" s="29" t="s">
        <v>612</v>
      </c>
      <c r="F44" s="49" t="s">
        <v>396</v>
      </c>
      <c r="G44" s="50" t="s">
        <v>21</v>
      </c>
      <c r="H44" s="34">
        <v>2</v>
      </c>
      <c r="I44" s="29" t="s">
        <v>251</v>
      </c>
      <c r="J44" s="24">
        <v>2</v>
      </c>
      <c r="K44" s="32">
        <f>VLOOKUP(E44,照明設備稼働時間!$A$4:$E$31,5,FALSE)</f>
        <v>484</v>
      </c>
      <c r="L44" s="32" t="str">
        <f t="shared" si="0"/>
        <v>FHF32W2笠付</v>
      </c>
      <c r="M44" s="14">
        <f>VLOOKUP(L44,照明器具一覧!$B$4:$F$129,5,FALSE)</f>
        <v>36</v>
      </c>
      <c r="N44" s="14">
        <v>1</v>
      </c>
      <c r="O44" s="142">
        <f t="shared" si="1"/>
        <v>34.847999999999999</v>
      </c>
    </row>
    <row r="45" spans="1:15">
      <c r="A45" s="2" t="s">
        <v>666</v>
      </c>
      <c r="B45" s="78" t="s">
        <v>1499</v>
      </c>
      <c r="C45" s="48" t="s">
        <v>294</v>
      </c>
      <c r="D45" s="29" t="s">
        <v>389</v>
      </c>
      <c r="E45" s="29" t="s">
        <v>612</v>
      </c>
      <c r="F45" s="49" t="s">
        <v>396</v>
      </c>
      <c r="G45" s="50" t="s">
        <v>21</v>
      </c>
      <c r="H45" s="34">
        <v>1</v>
      </c>
      <c r="I45" s="29" t="s">
        <v>251</v>
      </c>
      <c r="J45" s="24">
        <v>2</v>
      </c>
      <c r="K45" s="32">
        <f>VLOOKUP(E45,照明設備稼働時間!$A$4:$E$31,5,FALSE)</f>
        <v>484</v>
      </c>
      <c r="L45" s="32" t="str">
        <f t="shared" si="0"/>
        <v>FHF32W1笠付</v>
      </c>
      <c r="M45" s="14">
        <f>VLOOKUP(L45,照明器具一覧!$B$4:$F$129,5,FALSE)</f>
        <v>36</v>
      </c>
      <c r="N45" s="14">
        <v>1</v>
      </c>
      <c r="O45" s="142">
        <f t="shared" si="1"/>
        <v>34.847999999999999</v>
      </c>
    </row>
    <row r="46" spans="1:15">
      <c r="A46" s="2" t="s">
        <v>667</v>
      </c>
      <c r="B46" s="78" t="s">
        <v>1499</v>
      </c>
      <c r="C46" s="48" t="s">
        <v>283</v>
      </c>
      <c r="D46" s="29" t="s">
        <v>389</v>
      </c>
      <c r="E46" s="29" t="s">
        <v>601</v>
      </c>
      <c r="F46" s="49" t="s">
        <v>397</v>
      </c>
      <c r="G46" s="50" t="s">
        <v>21</v>
      </c>
      <c r="H46" s="34">
        <v>1</v>
      </c>
      <c r="I46" s="29" t="s">
        <v>302</v>
      </c>
      <c r="J46" s="24">
        <v>2</v>
      </c>
      <c r="K46" s="32">
        <f>VLOOKUP(E46,照明設備稼働時間!$A$4:$E$31,5,FALSE)</f>
        <v>2299</v>
      </c>
      <c r="L46" s="32" t="str">
        <f t="shared" si="0"/>
        <v>FHF32W1埋込W190</v>
      </c>
      <c r="M46" s="14">
        <f>VLOOKUP(L46,照明器具一覧!$B$4:$F$129,5,FALSE)</f>
        <v>36</v>
      </c>
      <c r="N46" s="14">
        <v>1</v>
      </c>
      <c r="O46" s="142">
        <f t="shared" si="1"/>
        <v>165.52799999999999</v>
      </c>
    </row>
    <row r="47" spans="1:15">
      <c r="A47" s="2" t="s">
        <v>668</v>
      </c>
      <c r="B47" s="78" t="s">
        <v>1499</v>
      </c>
      <c r="C47" s="48" t="s">
        <v>282</v>
      </c>
      <c r="D47" s="29" t="s">
        <v>389</v>
      </c>
      <c r="E47" s="29" t="s">
        <v>603</v>
      </c>
      <c r="F47" s="49" t="s">
        <v>311</v>
      </c>
      <c r="G47" s="50" t="s">
        <v>21</v>
      </c>
      <c r="H47" s="34">
        <v>1</v>
      </c>
      <c r="I47" s="29" t="s">
        <v>301</v>
      </c>
      <c r="J47" s="24">
        <v>1</v>
      </c>
      <c r="K47" s="32">
        <f>VLOOKUP(E47,照明設備稼働時間!$A$4:$E$31,5,FALSE)</f>
        <v>968</v>
      </c>
      <c r="L47" s="32" t="str">
        <f t="shared" si="0"/>
        <v>FHF32W1逆富士</v>
      </c>
      <c r="M47" s="14">
        <f>VLOOKUP(L47,照明器具一覧!$B$4:$F$129,5,FALSE)</f>
        <v>36</v>
      </c>
      <c r="N47" s="14">
        <v>1</v>
      </c>
      <c r="O47" s="142">
        <f t="shared" si="1"/>
        <v>34.847999999999999</v>
      </c>
    </row>
    <row r="48" spans="1:15">
      <c r="A48" s="2" t="s">
        <v>669</v>
      </c>
      <c r="B48" s="78" t="s">
        <v>1499</v>
      </c>
      <c r="C48" s="48"/>
      <c r="D48" s="29" t="s">
        <v>389</v>
      </c>
      <c r="E48" s="29" t="s">
        <v>603</v>
      </c>
      <c r="F48" s="49" t="s">
        <v>482</v>
      </c>
      <c r="G48" s="50" t="s">
        <v>31</v>
      </c>
      <c r="H48" s="34">
        <v>1</v>
      </c>
      <c r="I48" s="29" t="s">
        <v>316</v>
      </c>
      <c r="J48" s="24">
        <v>2</v>
      </c>
      <c r="K48" s="32">
        <f>VLOOKUP(E48,照明設備稼働時間!$A$4:$E$31,5,FALSE)</f>
        <v>968</v>
      </c>
      <c r="L48" s="32" t="str">
        <f t="shared" si="0"/>
        <v>LED電球1レセップ</v>
      </c>
      <c r="M48" s="14">
        <f>VLOOKUP(L48,照明器具一覧!$B$4:$F$129,5,FALSE)</f>
        <v>4.5999999999999996</v>
      </c>
      <c r="N48" s="14">
        <v>1</v>
      </c>
      <c r="O48" s="142">
        <f t="shared" si="1"/>
        <v>8.905599999999998</v>
      </c>
    </row>
    <row r="49" spans="1:15">
      <c r="A49" s="2" t="s">
        <v>670</v>
      </c>
      <c r="B49" s="78" t="s">
        <v>1499</v>
      </c>
      <c r="C49" s="48" t="s">
        <v>282</v>
      </c>
      <c r="D49" s="29" t="s">
        <v>389</v>
      </c>
      <c r="E49" s="29" t="s">
        <v>603</v>
      </c>
      <c r="F49" s="49" t="s">
        <v>310</v>
      </c>
      <c r="G49" s="50" t="s">
        <v>21</v>
      </c>
      <c r="H49" s="34">
        <v>1</v>
      </c>
      <c r="I49" s="29" t="s">
        <v>301</v>
      </c>
      <c r="J49" s="24">
        <v>1</v>
      </c>
      <c r="K49" s="32">
        <f>VLOOKUP(E49,照明設備稼働時間!$A$4:$E$31,5,FALSE)</f>
        <v>968</v>
      </c>
      <c r="L49" s="32" t="str">
        <f t="shared" si="0"/>
        <v>FHF32W1逆富士</v>
      </c>
      <c r="M49" s="14">
        <f>VLOOKUP(L49,照明器具一覧!$B$4:$F$129,5,FALSE)</f>
        <v>36</v>
      </c>
      <c r="N49" s="14">
        <v>1</v>
      </c>
      <c r="O49" s="142">
        <f t="shared" si="1"/>
        <v>34.847999999999999</v>
      </c>
    </row>
    <row r="50" spans="1:15">
      <c r="A50" s="2" t="s">
        <v>671</v>
      </c>
      <c r="B50" s="78" t="s">
        <v>1499</v>
      </c>
      <c r="C50" s="48"/>
      <c r="D50" s="29" t="s">
        <v>389</v>
      </c>
      <c r="E50" s="29" t="s">
        <v>603</v>
      </c>
      <c r="F50" s="49" t="s">
        <v>483</v>
      </c>
      <c r="G50" s="50" t="s">
        <v>31</v>
      </c>
      <c r="H50" s="34">
        <v>1</v>
      </c>
      <c r="I50" s="29" t="s">
        <v>316</v>
      </c>
      <c r="J50" s="24">
        <v>3</v>
      </c>
      <c r="K50" s="32">
        <f>VLOOKUP(E50,照明設備稼働時間!$A$4:$E$31,5,FALSE)</f>
        <v>968</v>
      </c>
      <c r="L50" s="32" t="str">
        <f t="shared" si="0"/>
        <v>LED電球1レセップ</v>
      </c>
      <c r="M50" s="14">
        <f>VLOOKUP(L50,照明器具一覧!$B$4:$F$129,5,FALSE)</f>
        <v>4.5999999999999996</v>
      </c>
      <c r="N50" s="14">
        <v>1</v>
      </c>
      <c r="O50" s="142">
        <f t="shared" si="1"/>
        <v>13.3584</v>
      </c>
    </row>
    <row r="51" spans="1:15">
      <c r="A51" s="2" t="s">
        <v>672</v>
      </c>
      <c r="B51" s="78" t="s">
        <v>1499</v>
      </c>
      <c r="C51" s="48" t="s">
        <v>285</v>
      </c>
      <c r="D51" s="29" t="s">
        <v>389</v>
      </c>
      <c r="E51" s="29" t="s">
        <v>601</v>
      </c>
      <c r="F51" s="49" t="s">
        <v>274</v>
      </c>
      <c r="G51" s="50" t="s">
        <v>21</v>
      </c>
      <c r="H51" s="34">
        <v>1</v>
      </c>
      <c r="I51" s="29" t="s">
        <v>551</v>
      </c>
      <c r="J51" s="24">
        <v>2</v>
      </c>
      <c r="K51" s="32">
        <f>VLOOKUP(E51,照明設備稼働時間!$A$4:$E$31,5,FALSE)</f>
        <v>2299</v>
      </c>
      <c r="L51" s="32" t="str">
        <f t="shared" si="0"/>
        <v>FHF32W1階段灯　非常灯付</v>
      </c>
      <c r="M51" s="14">
        <f>VLOOKUP(L51,照明器具一覧!$B$4:$F$129,5,FALSE)</f>
        <v>36</v>
      </c>
      <c r="N51" s="14">
        <v>1</v>
      </c>
      <c r="O51" s="142">
        <f t="shared" si="1"/>
        <v>165.52799999999999</v>
      </c>
    </row>
    <row r="52" spans="1:15">
      <c r="A52" s="2" t="s">
        <v>673</v>
      </c>
      <c r="B52" s="78" t="s">
        <v>1499</v>
      </c>
      <c r="C52" s="48"/>
      <c r="D52" s="29" t="s">
        <v>389</v>
      </c>
      <c r="E52" s="29" t="s">
        <v>612</v>
      </c>
      <c r="F52" s="49" t="s">
        <v>494</v>
      </c>
      <c r="G52" s="50" t="s">
        <v>373</v>
      </c>
      <c r="H52" s="34">
        <v>1</v>
      </c>
      <c r="I52" s="29" t="s">
        <v>441</v>
      </c>
      <c r="J52" s="24">
        <v>1</v>
      </c>
      <c r="K52" s="32">
        <f>VLOOKUP(E52,照明設備稼働時間!$A$4:$E$31,5,FALSE)</f>
        <v>484</v>
      </c>
      <c r="L52" s="32" t="str">
        <f t="shared" si="0"/>
        <v>IL60W1コップ型</v>
      </c>
      <c r="M52" s="14">
        <f>VLOOKUP(L52,照明器具一覧!$B$4:$F$129,5,FALSE)</f>
        <v>60</v>
      </c>
      <c r="N52" s="14">
        <v>1</v>
      </c>
      <c r="O52" s="142">
        <f t="shared" si="1"/>
        <v>29.04</v>
      </c>
    </row>
    <row r="53" spans="1:15">
      <c r="A53" s="2" t="s">
        <v>674</v>
      </c>
      <c r="B53" s="78" t="s">
        <v>1499</v>
      </c>
      <c r="C53" s="48" t="s">
        <v>294</v>
      </c>
      <c r="D53" s="29" t="s">
        <v>389</v>
      </c>
      <c r="E53" s="29" t="s">
        <v>612</v>
      </c>
      <c r="F53" s="49" t="s">
        <v>398</v>
      </c>
      <c r="G53" s="50" t="s">
        <v>21</v>
      </c>
      <c r="H53" s="34">
        <v>1</v>
      </c>
      <c r="I53" s="29" t="s">
        <v>440</v>
      </c>
      <c r="J53" s="24">
        <v>3</v>
      </c>
      <c r="K53" s="32">
        <f>VLOOKUP(E53,照明設備稼働時間!$A$4:$E$31,5,FALSE)</f>
        <v>484</v>
      </c>
      <c r="L53" s="32" t="str">
        <f t="shared" si="0"/>
        <v>FHF32W1笠付</v>
      </c>
      <c r="M53" s="14">
        <f>VLOOKUP(L53,照明器具一覧!$B$4:$F$129,5,FALSE)</f>
        <v>36</v>
      </c>
      <c r="N53" s="14">
        <v>1</v>
      </c>
      <c r="O53" s="142">
        <f t="shared" si="1"/>
        <v>52.271999999999998</v>
      </c>
    </row>
    <row r="54" spans="1:15">
      <c r="A54" s="2" t="s">
        <v>675</v>
      </c>
      <c r="B54" s="78" t="s">
        <v>1499</v>
      </c>
      <c r="C54" s="48" t="s">
        <v>294</v>
      </c>
      <c r="D54" s="29" t="s">
        <v>389</v>
      </c>
      <c r="E54" s="29" t="s">
        <v>606</v>
      </c>
      <c r="F54" s="49" t="s">
        <v>399</v>
      </c>
      <c r="G54" s="50" t="s">
        <v>21</v>
      </c>
      <c r="H54" s="34">
        <v>1</v>
      </c>
      <c r="I54" s="29" t="s">
        <v>251</v>
      </c>
      <c r="J54" s="24">
        <v>9</v>
      </c>
      <c r="K54" s="32">
        <f>VLOOKUP(E54,照明設備稼働時間!$A$4:$E$31,5,FALSE)</f>
        <v>242</v>
      </c>
      <c r="L54" s="32" t="str">
        <f t="shared" si="0"/>
        <v>FHF32W1笠付</v>
      </c>
      <c r="M54" s="14">
        <f>VLOOKUP(L54,照明器具一覧!$B$4:$F$129,5,FALSE)</f>
        <v>36</v>
      </c>
      <c r="N54" s="14">
        <v>1</v>
      </c>
      <c r="O54" s="142">
        <f t="shared" si="1"/>
        <v>78.408000000000001</v>
      </c>
    </row>
    <row r="55" spans="1:15">
      <c r="A55" s="2" t="s">
        <v>676</v>
      </c>
      <c r="B55" s="78" t="s">
        <v>1499</v>
      </c>
      <c r="C55" s="48" t="s">
        <v>294</v>
      </c>
      <c r="D55" s="29" t="s">
        <v>389</v>
      </c>
      <c r="E55" s="29" t="s">
        <v>606</v>
      </c>
      <c r="F55" s="49" t="s">
        <v>400</v>
      </c>
      <c r="G55" s="50" t="s">
        <v>21</v>
      </c>
      <c r="H55" s="34">
        <v>1</v>
      </c>
      <c r="I55" s="29" t="s">
        <v>251</v>
      </c>
      <c r="J55" s="24">
        <v>2</v>
      </c>
      <c r="K55" s="32">
        <f>VLOOKUP(E55,照明設備稼働時間!$A$4:$E$31,5,FALSE)</f>
        <v>242</v>
      </c>
      <c r="L55" s="32" t="str">
        <f t="shared" si="0"/>
        <v>FHF32W1笠付</v>
      </c>
      <c r="M55" s="14">
        <f>VLOOKUP(L55,照明器具一覧!$B$4:$F$129,5,FALSE)</f>
        <v>36</v>
      </c>
      <c r="N55" s="14">
        <v>1</v>
      </c>
      <c r="O55" s="142">
        <f t="shared" si="1"/>
        <v>17.423999999999999</v>
      </c>
    </row>
    <row r="56" spans="1:15">
      <c r="A56" s="2" t="s">
        <v>677</v>
      </c>
      <c r="B56" s="78" t="s">
        <v>1499</v>
      </c>
      <c r="C56" s="48" t="s">
        <v>294</v>
      </c>
      <c r="D56" s="29" t="s">
        <v>389</v>
      </c>
      <c r="E56" s="29" t="s">
        <v>44</v>
      </c>
      <c r="F56" s="49" t="s">
        <v>489</v>
      </c>
      <c r="G56" s="50" t="s">
        <v>21</v>
      </c>
      <c r="H56" s="34">
        <v>1</v>
      </c>
      <c r="I56" s="29" t="s">
        <v>251</v>
      </c>
      <c r="J56" s="24">
        <v>1</v>
      </c>
      <c r="K56" s="32">
        <f>VLOOKUP(E56,照明設備稼働時間!$A$4:$E$31,5,FALSE)</f>
        <v>242</v>
      </c>
      <c r="L56" s="32" t="str">
        <f t="shared" si="0"/>
        <v>FHF32W1笠付</v>
      </c>
      <c r="M56" s="14">
        <f>VLOOKUP(L56,照明器具一覧!$B$4:$F$129,5,FALSE)</f>
        <v>36</v>
      </c>
      <c r="N56" s="14">
        <v>1</v>
      </c>
      <c r="O56" s="142">
        <f t="shared" si="1"/>
        <v>8.7119999999999997</v>
      </c>
    </row>
    <row r="57" spans="1:15">
      <c r="A57" s="2" t="s">
        <v>678</v>
      </c>
      <c r="B57" s="78" t="s">
        <v>1499</v>
      </c>
      <c r="C57" s="48" t="s">
        <v>295</v>
      </c>
      <c r="D57" s="29" t="s">
        <v>389</v>
      </c>
      <c r="E57" s="29" t="s">
        <v>481</v>
      </c>
      <c r="F57" s="49" t="s">
        <v>401</v>
      </c>
      <c r="G57" s="50" t="s">
        <v>21</v>
      </c>
      <c r="H57" s="34">
        <v>2</v>
      </c>
      <c r="I57" s="29" t="s">
        <v>308</v>
      </c>
      <c r="J57" s="24">
        <v>34</v>
      </c>
      <c r="K57" s="32">
        <f>VLOOKUP(E57,照明設備稼働時間!$A$4:$E$31,5,FALSE)</f>
        <v>3146</v>
      </c>
      <c r="L57" s="32" t="str">
        <f t="shared" si="0"/>
        <v>FHF32W2埋込W300</v>
      </c>
      <c r="M57" s="14">
        <f>VLOOKUP(L57,照明器具一覧!$B$4:$F$129,5,FALSE)</f>
        <v>71</v>
      </c>
      <c r="N57" s="14">
        <v>1</v>
      </c>
      <c r="O57" s="142">
        <f t="shared" si="1"/>
        <v>7594.4440000000004</v>
      </c>
    </row>
    <row r="58" spans="1:15">
      <c r="A58" s="2" t="s">
        <v>679</v>
      </c>
      <c r="B58" s="78" t="s">
        <v>1499</v>
      </c>
      <c r="C58" s="48" t="s">
        <v>290</v>
      </c>
      <c r="D58" s="29" t="s">
        <v>389</v>
      </c>
      <c r="E58" s="29" t="s">
        <v>481</v>
      </c>
      <c r="F58" s="49" t="s">
        <v>401</v>
      </c>
      <c r="G58" s="50" t="s">
        <v>21</v>
      </c>
      <c r="H58" s="34">
        <v>1</v>
      </c>
      <c r="I58" s="29" t="s">
        <v>89</v>
      </c>
      <c r="J58" s="24">
        <v>5</v>
      </c>
      <c r="K58" s="32">
        <f>VLOOKUP(E58,照明設備稼働時間!$A$4:$E$31,5,FALSE)</f>
        <v>3146</v>
      </c>
      <c r="L58" s="32" t="str">
        <f t="shared" si="0"/>
        <v>FHF32W1トラフ</v>
      </c>
      <c r="M58" s="14">
        <f>VLOOKUP(L58,照明器具一覧!$B$4:$F$129,5,FALSE)</f>
        <v>36</v>
      </c>
      <c r="N58" s="14">
        <v>1</v>
      </c>
      <c r="O58" s="142">
        <f t="shared" si="1"/>
        <v>566.28</v>
      </c>
    </row>
    <row r="59" spans="1:15">
      <c r="A59" s="2" t="s">
        <v>680</v>
      </c>
      <c r="B59" s="78" t="s">
        <v>1499</v>
      </c>
      <c r="C59" s="48" t="s">
        <v>337</v>
      </c>
      <c r="D59" s="29" t="s">
        <v>389</v>
      </c>
      <c r="E59" s="29" t="s">
        <v>481</v>
      </c>
      <c r="F59" s="49" t="s">
        <v>401</v>
      </c>
      <c r="G59" s="50" t="s">
        <v>19</v>
      </c>
      <c r="H59" s="34">
        <v>1</v>
      </c>
      <c r="I59" s="29" t="s">
        <v>336</v>
      </c>
      <c r="J59" s="24">
        <v>1</v>
      </c>
      <c r="K59" s="32">
        <f>VLOOKUP(E59,照明設備稼働時間!$A$4:$E$31,5,FALSE)</f>
        <v>3146</v>
      </c>
      <c r="L59" s="32" t="str">
        <f t="shared" si="0"/>
        <v>FHF16W1笠付（高出力）</v>
      </c>
      <c r="M59" s="14">
        <f>VLOOKUP(L59,照明器具一覧!$B$4:$F$129,5,FALSE)</f>
        <v>26</v>
      </c>
      <c r="N59" s="14">
        <v>1</v>
      </c>
      <c r="O59" s="142">
        <f t="shared" si="1"/>
        <v>81.796000000000006</v>
      </c>
    </row>
    <row r="60" spans="1:15">
      <c r="A60" s="2" t="s">
        <v>681</v>
      </c>
      <c r="B60" s="78" t="s">
        <v>1498</v>
      </c>
      <c r="C60" s="48"/>
      <c r="D60" s="29" t="s">
        <v>343</v>
      </c>
      <c r="E60" s="29" t="s">
        <v>481</v>
      </c>
      <c r="F60" s="49" t="s">
        <v>481</v>
      </c>
      <c r="G60" s="50" t="s">
        <v>75</v>
      </c>
      <c r="H60" s="34">
        <v>1</v>
      </c>
      <c r="I60" s="29" t="s">
        <v>472</v>
      </c>
      <c r="J60" s="24">
        <v>3</v>
      </c>
      <c r="K60" s="32">
        <f>VLOOKUP(E60,照明設備稼働時間!$A$4:$E$31,5,FALSE)</f>
        <v>3146</v>
      </c>
      <c r="L60" s="32" t="str">
        <f t="shared" si="0"/>
        <v>LED1ベースライト　直付</v>
      </c>
      <c r="M60" s="14">
        <f>VLOOKUP(L60,照明器具一覧!$B$4:$F$129,5,FALSE)</f>
        <v>22</v>
      </c>
      <c r="N60" s="14">
        <v>1</v>
      </c>
      <c r="O60" s="142">
        <f t="shared" si="1"/>
        <v>207.636</v>
      </c>
    </row>
    <row r="61" spans="1:15">
      <c r="A61" s="2" t="s">
        <v>682</v>
      </c>
      <c r="B61" s="78" t="s">
        <v>1499</v>
      </c>
      <c r="C61" s="48" t="s">
        <v>295</v>
      </c>
      <c r="D61" s="29" t="s">
        <v>389</v>
      </c>
      <c r="E61" s="29" t="s">
        <v>481</v>
      </c>
      <c r="F61" s="49" t="s">
        <v>402</v>
      </c>
      <c r="G61" s="50" t="s">
        <v>21</v>
      </c>
      <c r="H61" s="34">
        <v>2</v>
      </c>
      <c r="I61" s="29" t="s">
        <v>308</v>
      </c>
      <c r="J61" s="24">
        <v>1</v>
      </c>
      <c r="K61" s="32">
        <f>VLOOKUP(E61,照明設備稼働時間!$A$4:$E$31,5,FALSE)</f>
        <v>3146</v>
      </c>
      <c r="L61" s="32" t="str">
        <f t="shared" si="0"/>
        <v>FHF32W2埋込W300</v>
      </c>
      <c r="M61" s="14">
        <f>VLOOKUP(L61,照明器具一覧!$B$4:$F$129,5,FALSE)</f>
        <v>71</v>
      </c>
      <c r="N61" s="14">
        <v>1</v>
      </c>
      <c r="O61" s="142">
        <f t="shared" si="1"/>
        <v>223.36600000000001</v>
      </c>
    </row>
    <row r="62" spans="1:15">
      <c r="A62" s="2" t="s">
        <v>683</v>
      </c>
      <c r="B62" s="78" t="s">
        <v>1499</v>
      </c>
      <c r="C62" s="48" t="s">
        <v>433</v>
      </c>
      <c r="D62" s="29" t="s">
        <v>389</v>
      </c>
      <c r="E62" s="29" t="s">
        <v>44</v>
      </c>
      <c r="F62" s="49" t="s">
        <v>319</v>
      </c>
      <c r="G62" s="50" t="s">
        <v>19</v>
      </c>
      <c r="H62" s="34">
        <v>2</v>
      </c>
      <c r="I62" s="29" t="s">
        <v>254</v>
      </c>
      <c r="J62" s="24">
        <v>1</v>
      </c>
      <c r="K62" s="32">
        <f>VLOOKUP(E62,照明設備稼働時間!$A$4:$E$31,5,FALSE)</f>
        <v>242</v>
      </c>
      <c r="L62" s="32" t="str">
        <f t="shared" si="0"/>
        <v>FHF16W2逆富士（高出力）</v>
      </c>
      <c r="M62" s="14">
        <f>VLOOKUP(L62,照明器具一覧!$B$4:$F$129,5,FALSE)</f>
        <v>50</v>
      </c>
      <c r="N62" s="14">
        <v>1</v>
      </c>
      <c r="O62" s="142">
        <f t="shared" si="1"/>
        <v>12.1</v>
      </c>
    </row>
    <row r="63" spans="1:15">
      <c r="A63" s="2" t="s">
        <v>684</v>
      </c>
      <c r="B63" s="78" t="s">
        <v>1499</v>
      </c>
      <c r="C63" s="48" t="s">
        <v>337</v>
      </c>
      <c r="D63" s="29" t="s">
        <v>389</v>
      </c>
      <c r="E63" s="29" t="s">
        <v>606</v>
      </c>
      <c r="F63" s="49" t="s">
        <v>403</v>
      </c>
      <c r="G63" s="50" t="s">
        <v>19</v>
      </c>
      <c r="H63" s="34">
        <v>1</v>
      </c>
      <c r="I63" s="29" t="s">
        <v>336</v>
      </c>
      <c r="J63" s="24">
        <v>1</v>
      </c>
      <c r="K63" s="32">
        <f>VLOOKUP(E63,照明設備稼働時間!$A$4:$E$31,5,FALSE)</f>
        <v>242</v>
      </c>
      <c r="L63" s="32" t="str">
        <f t="shared" si="0"/>
        <v>FHF16W1笠付（高出力）</v>
      </c>
      <c r="M63" s="14">
        <f>VLOOKUP(L63,照明器具一覧!$B$4:$F$129,5,FALSE)</f>
        <v>26</v>
      </c>
      <c r="N63" s="14">
        <v>1</v>
      </c>
      <c r="O63" s="142">
        <f t="shared" si="1"/>
        <v>6.2919999999999998</v>
      </c>
    </row>
    <row r="64" spans="1:15">
      <c r="A64" s="2" t="s">
        <v>685</v>
      </c>
      <c r="B64" s="78" t="s">
        <v>1499</v>
      </c>
      <c r="C64" s="48" t="s">
        <v>487</v>
      </c>
      <c r="D64" s="29" t="s">
        <v>343</v>
      </c>
      <c r="E64" s="29" t="s">
        <v>606</v>
      </c>
      <c r="F64" s="49" t="s">
        <v>486</v>
      </c>
      <c r="G64" s="50" t="s">
        <v>19</v>
      </c>
      <c r="H64" s="34">
        <v>1</v>
      </c>
      <c r="I64" s="29" t="s">
        <v>336</v>
      </c>
      <c r="J64" s="24">
        <v>1</v>
      </c>
      <c r="K64" s="32">
        <f>VLOOKUP(E64,照明設備稼働時間!$A$4:$E$31,5,FALSE)</f>
        <v>242</v>
      </c>
      <c r="L64" s="32" t="str">
        <f t="shared" si="0"/>
        <v>FHF16W1笠付（高出力）</v>
      </c>
      <c r="M64" s="14">
        <f>VLOOKUP(L64,照明器具一覧!$B$4:$F$129,5,FALSE)</f>
        <v>26</v>
      </c>
      <c r="N64" s="14">
        <v>1</v>
      </c>
      <c r="O64" s="142">
        <f t="shared" si="1"/>
        <v>6.2919999999999998</v>
      </c>
    </row>
    <row r="65" spans="1:15">
      <c r="A65" s="2" t="s">
        <v>686</v>
      </c>
      <c r="B65" s="78" t="s">
        <v>1499</v>
      </c>
      <c r="C65" s="48" t="s">
        <v>337</v>
      </c>
      <c r="D65" s="29" t="s">
        <v>389</v>
      </c>
      <c r="E65" s="29" t="s">
        <v>606</v>
      </c>
      <c r="F65" s="49" t="s">
        <v>319</v>
      </c>
      <c r="G65" s="50" t="s">
        <v>19</v>
      </c>
      <c r="H65" s="34">
        <v>1</v>
      </c>
      <c r="I65" s="29" t="s">
        <v>336</v>
      </c>
      <c r="J65" s="24">
        <v>1</v>
      </c>
      <c r="K65" s="32">
        <f>VLOOKUP(E65,照明設備稼働時間!$A$4:$E$31,5,FALSE)</f>
        <v>242</v>
      </c>
      <c r="L65" s="32" t="str">
        <f t="shared" si="0"/>
        <v>FHF16W1笠付（高出力）</v>
      </c>
      <c r="M65" s="14">
        <f>VLOOKUP(L65,照明器具一覧!$B$4:$F$129,5,FALSE)</f>
        <v>26</v>
      </c>
      <c r="N65" s="14">
        <v>1</v>
      </c>
      <c r="O65" s="142">
        <f t="shared" si="1"/>
        <v>6.2919999999999998</v>
      </c>
    </row>
    <row r="66" spans="1:15">
      <c r="A66" s="2" t="s">
        <v>687</v>
      </c>
      <c r="B66" s="78" t="s">
        <v>1499</v>
      </c>
      <c r="C66" s="48" t="s">
        <v>587</v>
      </c>
      <c r="D66" s="29" t="s">
        <v>343</v>
      </c>
      <c r="E66" s="29" t="s">
        <v>607</v>
      </c>
      <c r="F66" s="49" t="s">
        <v>484</v>
      </c>
      <c r="G66" s="50" t="s">
        <v>21</v>
      </c>
      <c r="H66" s="34">
        <v>2</v>
      </c>
      <c r="I66" s="29" t="s">
        <v>591</v>
      </c>
      <c r="J66" s="24">
        <v>11</v>
      </c>
      <c r="K66" s="32">
        <f>VLOOKUP(E66,照明設備稼働時間!$A$4:$E$31,5,FALSE)</f>
        <v>1936</v>
      </c>
      <c r="L66" s="32" t="str">
        <f t="shared" si="0"/>
        <v>FHF32W2反射笠付　防湿型</v>
      </c>
      <c r="M66" s="14">
        <f>VLOOKUP(L66,照明器具一覧!$B$4:$F$129,5,FALSE)</f>
        <v>72</v>
      </c>
      <c r="N66" s="14">
        <v>1</v>
      </c>
      <c r="O66" s="142">
        <f t="shared" si="1"/>
        <v>1533.3119999999999</v>
      </c>
    </row>
    <row r="67" spans="1:15">
      <c r="A67" s="2" t="s">
        <v>688</v>
      </c>
      <c r="B67" s="78" t="s">
        <v>1499</v>
      </c>
      <c r="C67" s="48" t="s">
        <v>588</v>
      </c>
      <c r="D67" s="29" t="s">
        <v>343</v>
      </c>
      <c r="E67" s="29" t="s">
        <v>607</v>
      </c>
      <c r="F67" s="49" t="s">
        <v>484</v>
      </c>
      <c r="G67" s="50" t="s">
        <v>21</v>
      </c>
      <c r="H67" s="34">
        <v>1</v>
      </c>
      <c r="I67" s="29" t="s">
        <v>591</v>
      </c>
      <c r="J67" s="24">
        <v>5</v>
      </c>
      <c r="K67" s="32">
        <f>VLOOKUP(E67,照明設備稼働時間!$A$4:$E$31,5,FALSE)</f>
        <v>1936</v>
      </c>
      <c r="L67" s="32" t="str">
        <f t="shared" si="0"/>
        <v>FHF32W1反射笠付　防湿型</v>
      </c>
      <c r="M67" s="14">
        <f>VLOOKUP(L67,照明器具一覧!$B$4:$F$129,5,FALSE)</f>
        <v>36</v>
      </c>
      <c r="N67" s="14">
        <v>1</v>
      </c>
      <c r="O67" s="142">
        <f t="shared" si="1"/>
        <v>348.48</v>
      </c>
    </row>
    <row r="68" spans="1:15">
      <c r="A68" s="2" t="s">
        <v>689</v>
      </c>
      <c r="B68" s="78" t="s">
        <v>1499</v>
      </c>
      <c r="C68" s="48" t="s">
        <v>589</v>
      </c>
      <c r="D68" s="29" t="s">
        <v>389</v>
      </c>
      <c r="E68" s="29" t="s">
        <v>607</v>
      </c>
      <c r="F68" s="49" t="s">
        <v>484</v>
      </c>
      <c r="G68" s="50" t="s">
        <v>21</v>
      </c>
      <c r="H68" s="34">
        <v>1</v>
      </c>
      <c r="I68" s="29" t="s">
        <v>592</v>
      </c>
      <c r="J68" s="24">
        <v>2</v>
      </c>
      <c r="K68" s="32">
        <f>VLOOKUP(E68,照明設備稼働時間!$A$4:$E$31,5,FALSE)</f>
        <v>1936</v>
      </c>
      <c r="L68" s="32" t="str">
        <f t="shared" ref="L68:L131" si="2">G68&amp;H68&amp;I68</f>
        <v>FHF32W1片反射傘　防湿型</v>
      </c>
      <c r="M68" s="14">
        <f>VLOOKUP(L68,照明器具一覧!$B$4:$F$129,5,FALSE)</f>
        <v>36</v>
      </c>
      <c r="N68" s="14">
        <v>1</v>
      </c>
      <c r="O68" s="142">
        <f t="shared" si="1"/>
        <v>139.392</v>
      </c>
    </row>
    <row r="69" spans="1:15">
      <c r="A69" s="2" t="s">
        <v>690</v>
      </c>
      <c r="B69" s="78" t="s">
        <v>1499</v>
      </c>
      <c r="C69" s="48" t="s">
        <v>590</v>
      </c>
      <c r="D69" s="29" t="s">
        <v>389</v>
      </c>
      <c r="E69" s="29" t="s">
        <v>607</v>
      </c>
      <c r="F69" s="49" t="s">
        <v>484</v>
      </c>
      <c r="G69" s="50" t="s">
        <v>21</v>
      </c>
      <c r="H69" s="34">
        <v>1</v>
      </c>
      <c r="I69" s="29" t="s">
        <v>593</v>
      </c>
      <c r="J69" s="24">
        <v>11</v>
      </c>
      <c r="K69" s="32">
        <f>VLOOKUP(E69,照明設備稼働時間!$A$4:$E$31,5,FALSE)</f>
        <v>1936</v>
      </c>
      <c r="L69" s="32" t="str">
        <f t="shared" si="2"/>
        <v>FHF32W1トラフ　防湿型</v>
      </c>
      <c r="M69" s="14">
        <f>VLOOKUP(L69,照明器具一覧!$B$4:$F$129,5,FALSE)</f>
        <v>36</v>
      </c>
      <c r="N69" s="14">
        <v>1</v>
      </c>
      <c r="O69" s="142">
        <f t="shared" ref="O69:O132" si="3">(M69*J69*K69*N69)/1000</f>
        <v>766.65599999999995</v>
      </c>
    </row>
    <row r="70" spans="1:15">
      <c r="A70" s="2" t="s">
        <v>691</v>
      </c>
      <c r="B70" s="78" t="s">
        <v>1499</v>
      </c>
      <c r="C70" s="48" t="s">
        <v>87</v>
      </c>
      <c r="D70" s="29" t="s">
        <v>389</v>
      </c>
      <c r="E70" s="29" t="s">
        <v>607</v>
      </c>
      <c r="F70" s="49" t="s">
        <v>485</v>
      </c>
      <c r="G70" s="50" t="s">
        <v>21</v>
      </c>
      <c r="H70" s="34">
        <v>2</v>
      </c>
      <c r="I70" s="29" t="s">
        <v>556</v>
      </c>
      <c r="J70" s="24">
        <v>2</v>
      </c>
      <c r="K70" s="32">
        <f>VLOOKUP(E70,照明設備稼働時間!$A$4:$E$31,5,FALSE)</f>
        <v>1936</v>
      </c>
      <c r="L70" s="32" t="str">
        <f t="shared" si="2"/>
        <v>FHF32W2埋込</v>
      </c>
      <c r="M70" s="14">
        <f>VLOOKUP(L70,照明器具一覧!$B$4:$F$129,5,FALSE)</f>
        <v>72</v>
      </c>
      <c r="N70" s="14">
        <v>1</v>
      </c>
      <c r="O70" s="142">
        <f t="shared" si="3"/>
        <v>278.78399999999999</v>
      </c>
    </row>
    <row r="71" spans="1:15">
      <c r="A71" s="2" t="s">
        <v>692</v>
      </c>
      <c r="B71" s="78" t="s">
        <v>1499</v>
      </c>
      <c r="C71" s="48"/>
      <c r="D71" s="29" t="s">
        <v>389</v>
      </c>
      <c r="E71" s="29" t="s">
        <v>607</v>
      </c>
      <c r="F71" s="49" t="s">
        <v>404</v>
      </c>
      <c r="G71" s="50" t="s">
        <v>373</v>
      </c>
      <c r="H71" s="34">
        <v>1</v>
      </c>
      <c r="I71" s="29" t="s">
        <v>73</v>
      </c>
      <c r="J71" s="24">
        <v>76</v>
      </c>
      <c r="K71" s="32">
        <f>VLOOKUP(E71,照明設備稼働時間!$A$4:$E$31,5,FALSE)</f>
        <v>1936</v>
      </c>
      <c r="L71" s="32" t="str">
        <f t="shared" si="2"/>
        <v>IL60W1ダウンライト</v>
      </c>
      <c r="M71" s="14">
        <f>VLOOKUP(L71,照明器具一覧!$B$4:$F$129,5,FALSE)</f>
        <v>60</v>
      </c>
      <c r="N71" s="14">
        <v>0.5</v>
      </c>
      <c r="O71" s="142">
        <f t="shared" si="3"/>
        <v>4414.08</v>
      </c>
    </row>
    <row r="72" spans="1:15">
      <c r="A72" s="2" t="s">
        <v>693</v>
      </c>
      <c r="B72" s="78" t="s">
        <v>1499</v>
      </c>
      <c r="C72" s="48"/>
      <c r="D72" s="29" t="s">
        <v>389</v>
      </c>
      <c r="E72" s="29" t="s">
        <v>607</v>
      </c>
      <c r="F72" s="49" t="s">
        <v>404</v>
      </c>
      <c r="G72" s="50" t="s">
        <v>445</v>
      </c>
      <c r="H72" s="34">
        <v>1</v>
      </c>
      <c r="I72" s="29" t="s">
        <v>446</v>
      </c>
      <c r="J72" s="24">
        <v>5</v>
      </c>
      <c r="K72" s="32">
        <f>VLOOKUP(E72,照明設備稼働時間!$A$4:$E$31,5,FALSE)</f>
        <v>1936</v>
      </c>
      <c r="L72" s="32" t="str">
        <f t="shared" si="2"/>
        <v>JD85W　1スポット</v>
      </c>
      <c r="M72" s="14">
        <f>VLOOKUP(L72,照明器具一覧!$B$4:$F$129,5,FALSE)</f>
        <v>85</v>
      </c>
      <c r="N72" s="14">
        <v>1</v>
      </c>
      <c r="O72" s="142">
        <f t="shared" si="3"/>
        <v>822.8</v>
      </c>
    </row>
    <row r="73" spans="1:15">
      <c r="A73" s="2" t="s">
        <v>694</v>
      </c>
      <c r="B73" s="78" t="s">
        <v>1499</v>
      </c>
      <c r="C73" s="48" t="s">
        <v>434</v>
      </c>
      <c r="D73" s="29" t="s">
        <v>389</v>
      </c>
      <c r="E73" s="29" t="s">
        <v>607</v>
      </c>
      <c r="F73" s="49" t="s">
        <v>405</v>
      </c>
      <c r="G73" s="50" t="s">
        <v>21</v>
      </c>
      <c r="H73" s="34">
        <v>3</v>
      </c>
      <c r="I73" s="29" t="s">
        <v>450</v>
      </c>
      <c r="J73" s="24">
        <v>32</v>
      </c>
      <c r="K73" s="32">
        <f>VLOOKUP(E73,照明設備稼働時間!$A$4:$E$31,5,FALSE)</f>
        <v>1936</v>
      </c>
      <c r="L73" s="32" t="str">
        <f t="shared" si="2"/>
        <v>FHF32W3埋込</v>
      </c>
      <c r="M73" s="14">
        <f>VLOOKUP(L73,照明器具一覧!$B$4:$F$129,5,FALSE)</f>
        <v>108</v>
      </c>
      <c r="N73" s="14">
        <v>1</v>
      </c>
      <c r="O73" s="142">
        <f t="shared" si="3"/>
        <v>6690.8159999999998</v>
      </c>
    </row>
    <row r="74" spans="1:15">
      <c r="A74" s="2" t="s">
        <v>695</v>
      </c>
      <c r="B74" s="78" t="s">
        <v>1499</v>
      </c>
      <c r="C74" s="48" t="s">
        <v>435</v>
      </c>
      <c r="D74" s="29" t="s">
        <v>389</v>
      </c>
      <c r="E74" s="29" t="s">
        <v>44</v>
      </c>
      <c r="F74" s="49" t="s">
        <v>406</v>
      </c>
      <c r="G74" s="50" t="s">
        <v>21</v>
      </c>
      <c r="H74" s="34">
        <v>2</v>
      </c>
      <c r="I74" s="29" t="s">
        <v>447</v>
      </c>
      <c r="J74" s="24">
        <v>1</v>
      </c>
      <c r="K74" s="32">
        <f>VLOOKUP(E74,照明設備稼働時間!$A$4:$E$31,5,FALSE)</f>
        <v>242</v>
      </c>
      <c r="L74" s="32" t="str">
        <f t="shared" si="2"/>
        <v>FHF32W2直付器具</v>
      </c>
      <c r="M74" s="14">
        <f>VLOOKUP(L74,照明器具一覧!$B$4:$F$129,5,FALSE)</f>
        <v>72</v>
      </c>
      <c r="N74" s="14">
        <v>1</v>
      </c>
      <c r="O74" s="142">
        <f t="shared" si="3"/>
        <v>17.423999999999999</v>
      </c>
    </row>
    <row r="75" spans="1:15">
      <c r="A75" s="2" t="s">
        <v>696</v>
      </c>
      <c r="B75" s="78" t="s">
        <v>1499</v>
      </c>
      <c r="C75" s="48" t="s">
        <v>282</v>
      </c>
      <c r="D75" s="29" t="s">
        <v>389</v>
      </c>
      <c r="E75" s="29" t="s">
        <v>603</v>
      </c>
      <c r="F75" s="49" t="s">
        <v>488</v>
      </c>
      <c r="G75" s="50" t="s">
        <v>21</v>
      </c>
      <c r="H75" s="34">
        <v>1</v>
      </c>
      <c r="I75" s="29" t="s">
        <v>301</v>
      </c>
      <c r="J75" s="24">
        <v>1</v>
      </c>
      <c r="K75" s="32">
        <f>VLOOKUP(E75,照明設備稼働時間!$A$4:$E$31,5,FALSE)</f>
        <v>968</v>
      </c>
      <c r="L75" s="32" t="str">
        <f t="shared" si="2"/>
        <v>FHF32W1逆富士</v>
      </c>
      <c r="M75" s="14">
        <f>VLOOKUP(L75,照明器具一覧!$B$4:$F$129,5,FALSE)</f>
        <v>36</v>
      </c>
      <c r="N75" s="14">
        <v>1</v>
      </c>
      <c r="O75" s="142">
        <f t="shared" si="3"/>
        <v>34.847999999999999</v>
      </c>
    </row>
    <row r="76" spans="1:15">
      <c r="A76" s="2" t="s">
        <v>697</v>
      </c>
      <c r="B76" s="78" t="s">
        <v>1499</v>
      </c>
      <c r="C76" s="48"/>
      <c r="D76" s="29" t="s">
        <v>389</v>
      </c>
      <c r="E76" s="29" t="s">
        <v>603</v>
      </c>
      <c r="F76" s="49" t="s">
        <v>488</v>
      </c>
      <c r="G76" s="50" t="s">
        <v>448</v>
      </c>
      <c r="H76" s="34">
        <v>1</v>
      </c>
      <c r="I76" s="29" t="s">
        <v>375</v>
      </c>
      <c r="J76" s="24">
        <v>1</v>
      </c>
      <c r="K76" s="32">
        <f>VLOOKUP(E76,照明設備稼働時間!$A$4:$E$31,5,FALSE)</f>
        <v>968</v>
      </c>
      <c r="L76" s="32" t="str">
        <f t="shared" si="2"/>
        <v>FL20W1ミラー灯</v>
      </c>
      <c r="M76" s="14">
        <f>VLOOKUP(L76,照明器具一覧!$B$4:$F$129,5,FALSE)</f>
        <v>22</v>
      </c>
      <c r="N76" s="14">
        <v>1</v>
      </c>
      <c r="O76" s="142">
        <f t="shared" si="3"/>
        <v>21.295999999999999</v>
      </c>
    </row>
    <row r="77" spans="1:15">
      <c r="A77" s="2" t="s">
        <v>698</v>
      </c>
      <c r="B77" s="78" t="s">
        <v>1499</v>
      </c>
      <c r="C77" s="48"/>
      <c r="D77" s="29" t="s">
        <v>389</v>
      </c>
      <c r="E77" s="29" t="s">
        <v>603</v>
      </c>
      <c r="F77" s="49" t="s">
        <v>490</v>
      </c>
      <c r="G77" s="50" t="s">
        <v>448</v>
      </c>
      <c r="H77" s="34">
        <v>1</v>
      </c>
      <c r="I77" s="29"/>
      <c r="J77" s="24">
        <v>1</v>
      </c>
      <c r="K77" s="32">
        <f>VLOOKUP(E77,照明設備稼働時間!$A$4:$E$31,5,FALSE)</f>
        <v>968</v>
      </c>
      <c r="L77" s="32" t="str">
        <f t="shared" si="2"/>
        <v>FL20W1</v>
      </c>
      <c r="M77" s="14">
        <f>VLOOKUP(L77,照明器具一覧!$B$4:$F$129,5,FALSE)</f>
        <v>22</v>
      </c>
      <c r="N77" s="14">
        <v>1</v>
      </c>
      <c r="O77" s="142">
        <f t="shared" si="3"/>
        <v>21.295999999999999</v>
      </c>
    </row>
    <row r="78" spans="1:15">
      <c r="A78" s="2" t="s">
        <v>699</v>
      </c>
      <c r="B78" s="78" t="s">
        <v>1499</v>
      </c>
      <c r="C78" s="48"/>
      <c r="D78" s="29" t="s">
        <v>389</v>
      </c>
      <c r="E78" s="29" t="s">
        <v>1507</v>
      </c>
      <c r="F78" s="49" t="s">
        <v>491</v>
      </c>
      <c r="G78" s="50" t="s">
        <v>448</v>
      </c>
      <c r="H78" s="34">
        <v>1</v>
      </c>
      <c r="I78" s="29"/>
      <c r="J78" s="24">
        <v>1</v>
      </c>
      <c r="K78" s="32">
        <f>VLOOKUP(E78,照明設備稼働時間!$A$4:$E$31,5,FALSE)</f>
        <v>0</v>
      </c>
      <c r="L78" s="32" t="str">
        <f t="shared" si="2"/>
        <v>FL20W1</v>
      </c>
      <c r="M78" s="14">
        <f>VLOOKUP(L78,照明器具一覧!$B$4:$F$129,5,FALSE)</f>
        <v>22</v>
      </c>
      <c r="N78" s="14">
        <v>1</v>
      </c>
      <c r="O78" s="142">
        <f t="shared" si="3"/>
        <v>0</v>
      </c>
    </row>
    <row r="79" spans="1:15">
      <c r="A79" s="2" t="s">
        <v>700</v>
      </c>
      <c r="B79" s="78" t="s">
        <v>1499</v>
      </c>
      <c r="C79" s="48" t="s">
        <v>283</v>
      </c>
      <c r="D79" s="29" t="s">
        <v>389</v>
      </c>
      <c r="E79" s="29" t="s">
        <v>1508</v>
      </c>
      <c r="F79" s="49" t="s">
        <v>65</v>
      </c>
      <c r="G79" s="50" t="s">
        <v>21</v>
      </c>
      <c r="H79" s="34">
        <v>1</v>
      </c>
      <c r="I79" s="29" t="s">
        <v>302</v>
      </c>
      <c r="J79" s="24">
        <v>2</v>
      </c>
      <c r="K79" s="32">
        <f>VLOOKUP(E79,照明設備稼働時間!$A$4:$E$31,5,FALSE)</f>
        <v>8760</v>
      </c>
      <c r="L79" s="32" t="str">
        <f t="shared" si="2"/>
        <v>FHF32W1埋込W190</v>
      </c>
      <c r="M79" s="14">
        <f>VLOOKUP(L79,照明器具一覧!$B$4:$F$129,5,FALSE)</f>
        <v>36</v>
      </c>
      <c r="N79" s="14">
        <v>1</v>
      </c>
      <c r="O79" s="142">
        <f t="shared" si="3"/>
        <v>630.72</v>
      </c>
    </row>
    <row r="80" spans="1:15">
      <c r="A80" s="2" t="s">
        <v>701</v>
      </c>
      <c r="B80" s="78" t="s">
        <v>1499</v>
      </c>
      <c r="C80" s="48"/>
      <c r="D80" s="29" t="s">
        <v>389</v>
      </c>
      <c r="E80" s="29" t="s">
        <v>1508</v>
      </c>
      <c r="F80" s="49" t="s">
        <v>65</v>
      </c>
      <c r="G80" s="50" t="s">
        <v>373</v>
      </c>
      <c r="H80" s="34">
        <v>1</v>
      </c>
      <c r="I80" s="29" t="s">
        <v>73</v>
      </c>
      <c r="J80" s="24">
        <v>1</v>
      </c>
      <c r="K80" s="32">
        <f>VLOOKUP(E80,照明設備稼働時間!$A$4:$E$31,5,FALSE)</f>
        <v>8760</v>
      </c>
      <c r="L80" s="32" t="str">
        <f t="shared" si="2"/>
        <v>IL60W1ダウンライト</v>
      </c>
      <c r="M80" s="14">
        <f>VLOOKUP(L80,照明器具一覧!$B$4:$F$129,5,FALSE)</f>
        <v>60</v>
      </c>
      <c r="N80" s="14">
        <v>1</v>
      </c>
      <c r="O80" s="142">
        <f t="shared" si="3"/>
        <v>525.6</v>
      </c>
    </row>
    <row r="81" spans="1:15">
      <c r="A81" s="2" t="s">
        <v>702</v>
      </c>
      <c r="B81" s="78" t="s">
        <v>1499</v>
      </c>
      <c r="C81" s="48" t="s">
        <v>292</v>
      </c>
      <c r="D81" s="29" t="s">
        <v>389</v>
      </c>
      <c r="E81" s="29" t="s">
        <v>601</v>
      </c>
      <c r="F81" s="49" t="s">
        <v>407</v>
      </c>
      <c r="G81" s="50" t="s">
        <v>19</v>
      </c>
      <c r="H81" s="34">
        <v>1</v>
      </c>
      <c r="I81" s="29" t="s">
        <v>335</v>
      </c>
      <c r="J81" s="24">
        <v>2</v>
      </c>
      <c r="K81" s="32">
        <f>VLOOKUP(E81,照明設備稼働時間!$A$4:$E$31,5,FALSE)</f>
        <v>2299</v>
      </c>
      <c r="L81" s="32" t="str">
        <f t="shared" si="2"/>
        <v>FHF16W1埋込　高出力</v>
      </c>
      <c r="M81" s="14">
        <f>VLOOKUP(L81,照明器具一覧!$B$4:$F$129,5,FALSE)</f>
        <v>26</v>
      </c>
      <c r="N81" s="14">
        <v>1</v>
      </c>
      <c r="O81" s="142">
        <f t="shared" si="3"/>
        <v>119.548</v>
      </c>
    </row>
    <row r="82" spans="1:15">
      <c r="A82" s="2" t="s">
        <v>703</v>
      </c>
      <c r="B82" s="78" t="s">
        <v>1499</v>
      </c>
      <c r="C82" s="48" t="s">
        <v>295</v>
      </c>
      <c r="D82" s="29" t="s">
        <v>389</v>
      </c>
      <c r="E82" s="29" t="s">
        <v>610</v>
      </c>
      <c r="F82" s="49" t="s">
        <v>408</v>
      </c>
      <c r="G82" s="50" t="s">
        <v>21</v>
      </c>
      <c r="H82" s="34">
        <v>2</v>
      </c>
      <c r="I82" s="29" t="s">
        <v>308</v>
      </c>
      <c r="J82" s="24">
        <v>6</v>
      </c>
      <c r="K82" s="32">
        <f>VLOOKUP(E82,照明設備稼働時間!$A$4:$E$31,5,FALSE)</f>
        <v>8760</v>
      </c>
      <c r="L82" s="32" t="str">
        <f t="shared" si="2"/>
        <v>FHF32W2埋込W300</v>
      </c>
      <c r="M82" s="14">
        <f>VLOOKUP(L82,照明器具一覧!$B$4:$F$129,5,FALSE)</f>
        <v>71</v>
      </c>
      <c r="N82" s="14">
        <v>1</v>
      </c>
      <c r="O82" s="142">
        <f t="shared" si="3"/>
        <v>3731.76</v>
      </c>
    </row>
    <row r="83" spans="1:15">
      <c r="A83" s="2" t="s">
        <v>704</v>
      </c>
      <c r="B83" s="78" t="s">
        <v>1499</v>
      </c>
      <c r="C83" s="48" t="s">
        <v>295</v>
      </c>
      <c r="D83" s="29" t="s">
        <v>389</v>
      </c>
      <c r="E83" s="29" t="s">
        <v>610</v>
      </c>
      <c r="F83" s="49" t="s">
        <v>409</v>
      </c>
      <c r="G83" s="50" t="s">
        <v>21</v>
      </c>
      <c r="H83" s="34">
        <v>2</v>
      </c>
      <c r="I83" s="29" t="s">
        <v>308</v>
      </c>
      <c r="J83" s="24">
        <v>3</v>
      </c>
      <c r="K83" s="32">
        <f>VLOOKUP(E83,照明設備稼働時間!$A$4:$E$31,5,FALSE)</f>
        <v>8760</v>
      </c>
      <c r="L83" s="32" t="str">
        <f t="shared" si="2"/>
        <v>FHF32W2埋込W300</v>
      </c>
      <c r="M83" s="14">
        <f>VLOOKUP(L83,照明器具一覧!$B$4:$F$129,5,FALSE)</f>
        <v>71</v>
      </c>
      <c r="N83" s="14">
        <v>1</v>
      </c>
      <c r="O83" s="142">
        <f t="shared" si="3"/>
        <v>1865.88</v>
      </c>
    </row>
    <row r="84" spans="1:15">
      <c r="A84" s="2" t="s">
        <v>705</v>
      </c>
      <c r="B84" s="78" t="s">
        <v>1499</v>
      </c>
      <c r="C84" s="48" t="s">
        <v>436</v>
      </c>
      <c r="D84" s="29" t="s">
        <v>389</v>
      </c>
      <c r="E84" s="29" t="s">
        <v>1513</v>
      </c>
      <c r="F84" s="49" t="s">
        <v>356</v>
      </c>
      <c r="G84" s="50" t="s">
        <v>21</v>
      </c>
      <c r="H84" s="34">
        <v>2</v>
      </c>
      <c r="I84" s="29" t="s">
        <v>308</v>
      </c>
      <c r="J84" s="24">
        <v>2</v>
      </c>
      <c r="K84" s="32">
        <f>VLOOKUP(E84,照明設備稼働時間!$A$4:$E$31,5,FALSE)</f>
        <v>484</v>
      </c>
      <c r="L84" s="32" t="str">
        <f t="shared" si="2"/>
        <v>FHF32W2埋込W300</v>
      </c>
      <c r="M84" s="14">
        <f>VLOOKUP(L84,照明器具一覧!$B$4:$F$129,5,FALSE)</f>
        <v>71</v>
      </c>
      <c r="N84" s="14">
        <v>1</v>
      </c>
      <c r="O84" s="142">
        <f t="shared" si="3"/>
        <v>68.727999999999994</v>
      </c>
    </row>
    <row r="85" spans="1:15">
      <c r="A85" s="2" t="s">
        <v>706</v>
      </c>
      <c r="B85" s="78" t="s">
        <v>1499</v>
      </c>
      <c r="C85" s="48" t="s">
        <v>437</v>
      </c>
      <c r="D85" s="29" t="s">
        <v>389</v>
      </c>
      <c r="E85" s="29" t="s">
        <v>1513</v>
      </c>
      <c r="F85" s="49" t="s">
        <v>356</v>
      </c>
      <c r="G85" s="50" t="s">
        <v>21</v>
      </c>
      <c r="H85" s="34">
        <v>1</v>
      </c>
      <c r="I85" s="29" t="s">
        <v>12</v>
      </c>
      <c r="J85" s="24">
        <v>1</v>
      </c>
      <c r="K85" s="32">
        <f>VLOOKUP(E85,照明設備稼働時間!$A$4:$E$31,5,FALSE)</f>
        <v>484</v>
      </c>
      <c r="L85" s="32" t="str">
        <f t="shared" si="2"/>
        <v>FHF32W1ブラケット</v>
      </c>
      <c r="M85" s="14">
        <f>VLOOKUP(L85,照明器具一覧!$B$4:$F$129,5,FALSE)</f>
        <v>36</v>
      </c>
      <c r="N85" s="14">
        <v>1</v>
      </c>
      <c r="O85" s="142">
        <f t="shared" si="3"/>
        <v>17.423999999999999</v>
      </c>
    </row>
    <row r="86" spans="1:15">
      <c r="A86" s="2" t="s">
        <v>707</v>
      </c>
      <c r="B86" s="78" t="s">
        <v>1499</v>
      </c>
      <c r="C86" s="48" t="s">
        <v>294</v>
      </c>
      <c r="D86" s="29" t="s">
        <v>389</v>
      </c>
      <c r="E86" s="29" t="s">
        <v>606</v>
      </c>
      <c r="F86" s="49" t="s">
        <v>410</v>
      </c>
      <c r="G86" s="50" t="s">
        <v>21</v>
      </c>
      <c r="H86" s="34">
        <v>1</v>
      </c>
      <c r="I86" s="29" t="s">
        <v>251</v>
      </c>
      <c r="J86" s="24">
        <v>1</v>
      </c>
      <c r="K86" s="32">
        <f>VLOOKUP(E86,照明設備稼働時間!$A$4:$E$31,5,FALSE)</f>
        <v>242</v>
      </c>
      <c r="L86" s="32" t="str">
        <f t="shared" si="2"/>
        <v>FHF32W1笠付</v>
      </c>
      <c r="M86" s="14">
        <f>VLOOKUP(L86,照明器具一覧!$B$4:$F$129,5,FALSE)</f>
        <v>36</v>
      </c>
      <c r="N86" s="14">
        <v>1</v>
      </c>
      <c r="O86" s="142">
        <f t="shared" si="3"/>
        <v>8.7119999999999997</v>
      </c>
    </row>
    <row r="87" spans="1:15">
      <c r="A87" s="2" t="s">
        <v>708</v>
      </c>
      <c r="B87" s="78" t="s">
        <v>1499</v>
      </c>
      <c r="C87" s="48" t="s">
        <v>294</v>
      </c>
      <c r="D87" s="29" t="s">
        <v>389</v>
      </c>
      <c r="E87" s="29" t="s">
        <v>612</v>
      </c>
      <c r="F87" s="49" t="s">
        <v>411</v>
      </c>
      <c r="G87" s="50" t="s">
        <v>21</v>
      </c>
      <c r="H87" s="34">
        <v>1</v>
      </c>
      <c r="I87" s="29" t="s">
        <v>440</v>
      </c>
      <c r="J87" s="24">
        <v>3</v>
      </c>
      <c r="K87" s="32">
        <f>VLOOKUP(E87,照明設備稼働時間!$A$4:$E$31,5,FALSE)</f>
        <v>484</v>
      </c>
      <c r="L87" s="32" t="str">
        <f t="shared" si="2"/>
        <v>FHF32W1笠付</v>
      </c>
      <c r="M87" s="14">
        <f>VLOOKUP(L87,照明器具一覧!$B$4:$F$129,5,FALSE)</f>
        <v>36</v>
      </c>
      <c r="N87" s="14">
        <v>1</v>
      </c>
      <c r="O87" s="142">
        <f t="shared" si="3"/>
        <v>52.271999999999998</v>
      </c>
    </row>
    <row r="88" spans="1:15">
      <c r="A88" s="2" t="s">
        <v>709</v>
      </c>
      <c r="B88" s="78" t="s">
        <v>1499</v>
      </c>
      <c r="C88" s="48" t="s">
        <v>432</v>
      </c>
      <c r="D88" s="29" t="s">
        <v>389</v>
      </c>
      <c r="E88" s="29" t="s">
        <v>612</v>
      </c>
      <c r="F88" s="49" t="s">
        <v>411</v>
      </c>
      <c r="G88" s="50" t="s">
        <v>21</v>
      </c>
      <c r="H88" s="34">
        <v>2</v>
      </c>
      <c r="I88" s="29" t="s">
        <v>440</v>
      </c>
      <c r="J88" s="24">
        <v>1</v>
      </c>
      <c r="K88" s="32">
        <f>VLOOKUP(E88,照明設備稼働時間!$A$4:$E$31,5,FALSE)</f>
        <v>484</v>
      </c>
      <c r="L88" s="32" t="str">
        <f t="shared" si="2"/>
        <v>FHF32W2笠付</v>
      </c>
      <c r="M88" s="14">
        <f>VLOOKUP(L88,照明器具一覧!$B$4:$F$129,5,FALSE)</f>
        <v>36</v>
      </c>
      <c r="N88" s="14">
        <v>1</v>
      </c>
      <c r="O88" s="142">
        <f t="shared" si="3"/>
        <v>17.423999999999999</v>
      </c>
    </row>
    <row r="89" spans="1:15">
      <c r="A89" s="2" t="s">
        <v>710</v>
      </c>
      <c r="B89" s="78" t="s">
        <v>1499</v>
      </c>
      <c r="C89" s="48" t="s">
        <v>431</v>
      </c>
      <c r="D89" s="29" t="s">
        <v>389</v>
      </c>
      <c r="E89" s="29" t="s">
        <v>601</v>
      </c>
      <c r="F89" s="49" t="s">
        <v>412</v>
      </c>
      <c r="G89" s="50" t="s">
        <v>21</v>
      </c>
      <c r="H89" s="34">
        <v>1</v>
      </c>
      <c r="I89" s="29" t="s">
        <v>302</v>
      </c>
      <c r="J89" s="24">
        <v>1</v>
      </c>
      <c r="K89" s="32">
        <f>VLOOKUP(E89,照明設備稼働時間!$A$4:$E$31,5,FALSE)</f>
        <v>2299</v>
      </c>
      <c r="L89" s="32" t="str">
        <f t="shared" si="2"/>
        <v>FHF32W1埋込W190</v>
      </c>
      <c r="M89" s="14">
        <f>VLOOKUP(L89,照明器具一覧!$B$4:$F$129,5,FALSE)</f>
        <v>36</v>
      </c>
      <c r="N89" s="14">
        <v>1</v>
      </c>
      <c r="O89" s="142">
        <f t="shared" si="3"/>
        <v>82.763999999999996</v>
      </c>
    </row>
    <row r="90" spans="1:15">
      <c r="A90" s="2" t="s">
        <v>711</v>
      </c>
      <c r="B90" s="78" t="s">
        <v>1499</v>
      </c>
      <c r="C90" s="48" t="s">
        <v>294</v>
      </c>
      <c r="D90" s="29" t="s">
        <v>389</v>
      </c>
      <c r="E90" s="29" t="s">
        <v>612</v>
      </c>
      <c r="F90" s="49" t="s">
        <v>413</v>
      </c>
      <c r="G90" s="50" t="s">
        <v>21</v>
      </c>
      <c r="H90" s="34">
        <v>1</v>
      </c>
      <c r="I90" s="29" t="s">
        <v>251</v>
      </c>
      <c r="J90" s="24">
        <v>2</v>
      </c>
      <c r="K90" s="32">
        <f>VLOOKUP(E90,照明設備稼働時間!$A$4:$E$31,5,FALSE)</f>
        <v>484</v>
      </c>
      <c r="L90" s="32" t="str">
        <f t="shared" si="2"/>
        <v>FHF32W1笠付</v>
      </c>
      <c r="M90" s="14">
        <f>VLOOKUP(L90,照明器具一覧!$B$4:$F$129,5,FALSE)</f>
        <v>36</v>
      </c>
      <c r="N90" s="14">
        <v>1</v>
      </c>
      <c r="O90" s="142">
        <f t="shared" si="3"/>
        <v>34.847999999999999</v>
      </c>
    </row>
    <row r="91" spans="1:15">
      <c r="A91" s="2" t="s">
        <v>712</v>
      </c>
      <c r="B91" s="78" t="s">
        <v>1499</v>
      </c>
      <c r="C91" s="48" t="s">
        <v>432</v>
      </c>
      <c r="D91" s="29" t="s">
        <v>389</v>
      </c>
      <c r="E91" s="29" t="s">
        <v>612</v>
      </c>
      <c r="F91" s="49" t="s">
        <v>413</v>
      </c>
      <c r="G91" s="50" t="s">
        <v>21</v>
      </c>
      <c r="H91" s="34">
        <v>2</v>
      </c>
      <c r="I91" s="29" t="s">
        <v>251</v>
      </c>
      <c r="J91" s="24">
        <v>2</v>
      </c>
      <c r="K91" s="32">
        <f>VLOOKUP(E91,照明設備稼働時間!$A$4:$E$31,5,FALSE)</f>
        <v>484</v>
      </c>
      <c r="L91" s="32" t="str">
        <f t="shared" si="2"/>
        <v>FHF32W2笠付</v>
      </c>
      <c r="M91" s="14">
        <f>VLOOKUP(L91,照明器具一覧!$B$4:$F$129,5,FALSE)</f>
        <v>36</v>
      </c>
      <c r="N91" s="14">
        <v>1</v>
      </c>
      <c r="O91" s="142">
        <f t="shared" si="3"/>
        <v>34.847999999999999</v>
      </c>
    </row>
    <row r="92" spans="1:15">
      <c r="A92" s="2" t="s">
        <v>713</v>
      </c>
      <c r="B92" s="78" t="s">
        <v>1499</v>
      </c>
      <c r="C92" s="48" t="s">
        <v>294</v>
      </c>
      <c r="D92" s="29" t="s">
        <v>389</v>
      </c>
      <c r="E92" s="29" t="s">
        <v>606</v>
      </c>
      <c r="F92" s="49" t="s">
        <v>414</v>
      </c>
      <c r="G92" s="50" t="s">
        <v>21</v>
      </c>
      <c r="H92" s="34">
        <v>1</v>
      </c>
      <c r="I92" s="29" t="s">
        <v>251</v>
      </c>
      <c r="J92" s="24">
        <v>3</v>
      </c>
      <c r="K92" s="32">
        <f>VLOOKUP(E92,照明設備稼働時間!$A$4:$E$31,5,FALSE)</f>
        <v>242</v>
      </c>
      <c r="L92" s="32" t="str">
        <f t="shared" si="2"/>
        <v>FHF32W1笠付</v>
      </c>
      <c r="M92" s="14">
        <f>VLOOKUP(L92,照明器具一覧!$B$4:$F$129,5,FALSE)</f>
        <v>36</v>
      </c>
      <c r="N92" s="14">
        <v>1</v>
      </c>
      <c r="O92" s="142">
        <f t="shared" si="3"/>
        <v>26.135999999999999</v>
      </c>
    </row>
    <row r="93" spans="1:15">
      <c r="A93" s="2" t="s">
        <v>714</v>
      </c>
      <c r="B93" s="78" t="s">
        <v>1499</v>
      </c>
      <c r="C93" s="48" t="s">
        <v>294</v>
      </c>
      <c r="D93" s="29" t="s">
        <v>389</v>
      </c>
      <c r="E93" s="29" t="s">
        <v>612</v>
      </c>
      <c r="F93" s="49" t="s">
        <v>415</v>
      </c>
      <c r="G93" s="50" t="s">
        <v>21</v>
      </c>
      <c r="H93" s="34">
        <v>1</v>
      </c>
      <c r="I93" s="29" t="s">
        <v>251</v>
      </c>
      <c r="J93" s="24">
        <v>8</v>
      </c>
      <c r="K93" s="32">
        <f>VLOOKUP(E93,照明設備稼働時間!$A$4:$E$31,5,FALSE)</f>
        <v>484</v>
      </c>
      <c r="L93" s="32" t="str">
        <f t="shared" si="2"/>
        <v>FHF32W1笠付</v>
      </c>
      <c r="M93" s="14">
        <f>VLOOKUP(L93,照明器具一覧!$B$4:$F$129,5,FALSE)</f>
        <v>36</v>
      </c>
      <c r="N93" s="14">
        <v>1</v>
      </c>
      <c r="O93" s="142">
        <f t="shared" si="3"/>
        <v>139.392</v>
      </c>
    </row>
    <row r="94" spans="1:15">
      <c r="A94" s="2" t="s">
        <v>715</v>
      </c>
      <c r="B94" s="78" t="s">
        <v>1499</v>
      </c>
      <c r="C94" s="48" t="s">
        <v>435</v>
      </c>
      <c r="D94" s="29" t="s">
        <v>389</v>
      </c>
      <c r="E94" s="29" t="s">
        <v>44</v>
      </c>
      <c r="F94" s="49" t="s">
        <v>406</v>
      </c>
      <c r="G94" s="50" t="s">
        <v>21</v>
      </c>
      <c r="H94" s="34">
        <v>2</v>
      </c>
      <c r="I94" s="29" t="s">
        <v>447</v>
      </c>
      <c r="J94" s="24">
        <v>1</v>
      </c>
      <c r="K94" s="32">
        <f>VLOOKUP(E94,照明設備稼働時間!$A$4:$E$31,5,FALSE)</f>
        <v>242</v>
      </c>
      <c r="L94" s="32" t="str">
        <f t="shared" si="2"/>
        <v>FHF32W2直付器具</v>
      </c>
      <c r="M94" s="14">
        <f>VLOOKUP(L94,照明器具一覧!$B$4:$F$129,5,FALSE)</f>
        <v>72</v>
      </c>
      <c r="N94" s="14">
        <v>1</v>
      </c>
      <c r="O94" s="142">
        <f t="shared" si="3"/>
        <v>17.423999999999999</v>
      </c>
    </row>
    <row r="95" spans="1:15">
      <c r="A95" s="2" t="s">
        <v>716</v>
      </c>
      <c r="B95" s="78" t="s">
        <v>1499</v>
      </c>
      <c r="C95" s="48" t="s">
        <v>285</v>
      </c>
      <c r="D95" s="29" t="s">
        <v>389</v>
      </c>
      <c r="E95" s="29" t="s">
        <v>601</v>
      </c>
      <c r="F95" s="49" t="s">
        <v>279</v>
      </c>
      <c r="G95" s="50" t="s">
        <v>21</v>
      </c>
      <c r="H95" s="34">
        <v>1</v>
      </c>
      <c r="I95" s="29" t="s">
        <v>551</v>
      </c>
      <c r="J95" s="24">
        <v>2</v>
      </c>
      <c r="K95" s="32">
        <f>VLOOKUP(E95,照明設備稼働時間!$A$4:$E$31,5,FALSE)</f>
        <v>2299</v>
      </c>
      <c r="L95" s="32" t="str">
        <f t="shared" si="2"/>
        <v>FHF32W1階段灯　非常灯付</v>
      </c>
      <c r="M95" s="14">
        <f>VLOOKUP(L95,照明器具一覧!$B$4:$F$129,5,FALSE)</f>
        <v>36</v>
      </c>
      <c r="N95" s="14">
        <v>1</v>
      </c>
      <c r="O95" s="142">
        <f t="shared" si="3"/>
        <v>165.52799999999999</v>
      </c>
    </row>
    <row r="96" spans="1:15">
      <c r="A96" s="2" t="s">
        <v>717</v>
      </c>
      <c r="B96" s="78" t="s">
        <v>1499</v>
      </c>
      <c r="C96" s="48"/>
      <c r="D96" s="29" t="s">
        <v>343</v>
      </c>
      <c r="E96" s="29" t="s">
        <v>612</v>
      </c>
      <c r="F96" s="49" t="s">
        <v>493</v>
      </c>
      <c r="G96" s="50" t="s">
        <v>373</v>
      </c>
      <c r="H96" s="34">
        <v>1</v>
      </c>
      <c r="I96" s="29" t="s">
        <v>441</v>
      </c>
      <c r="J96" s="24">
        <v>1</v>
      </c>
      <c r="K96" s="32">
        <f>VLOOKUP(E96,照明設備稼働時間!$A$4:$E$31,5,FALSE)</f>
        <v>484</v>
      </c>
      <c r="L96" s="32" t="str">
        <f t="shared" si="2"/>
        <v>IL60W1コップ型</v>
      </c>
      <c r="M96" s="14">
        <f>VLOOKUP(L96,照明器具一覧!$B$4:$F$129,5,FALSE)</f>
        <v>60</v>
      </c>
      <c r="N96" s="14">
        <v>1</v>
      </c>
      <c r="O96" s="142">
        <f t="shared" si="3"/>
        <v>29.04</v>
      </c>
    </row>
    <row r="97" spans="1:15">
      <c r="A97" s="2" t="s">
        <v>718</v>
      </c>
      <c r="B97" s="78" t="s">
        <v>1499</v>
      </c>
      <c r="C97" s="48" t="s">
        <v>294</v>
      </c>
      <c r="D97" s="29" t="s">
        <v>389</v>
      </c>
      <c r="E97" s="29" t="s">
        <v>612</v>
      </c>
      <c r="F97" s="49" t="s">
        <v>416</v>
      </c>
      <c r="G97" s="50" t="s">
        <v>21</v>
      </c>
      <c r="H97" s="34">
        <v>1</v>
      </c>
      <c r="I97" s="29" t="s">
        <v>251</v>
      </c>
      <c r="J97" s="24">
        <v>2</v>
      </c>
      <c r="K97" s="32">
        <f>VLOOKUP(E97,照明設備稼働時間!$A$4:$E$31,5,FALSE)</f>
        <v>484</v>
      </c>
      <c r="L97" s="32" t="str">
        <f t="shared" si="2"/>
        <v>FHF32W1笠付</v>
      </c>
      <c r="M97" s="14">
        <f>VLOOKUP(L97,照明器具一覧!$B$4:$F$129,5,FALSE)</f>
        <v>36</v>
      </c>
      <c r="N97" s="14">
        <v>1</v>
      </c>
      <c r="O97" s="142">
        <f t="shared" si="3"/>
        <v>34.847999999999999</v>
      </c>
    </row>
    <row r="98" spans="1:15">
      <c r="A98" s="2" t="s">
        <v>719</v>
      </c>
      <c r="B98" s="78" t="s">
        <v>1499</v>
      </c>
      <c r="C98" s="48" t="s">
        <v>431</v>
      </c>
      <c r="D98" s="29" t="s">
        <v>389</v>
      </c>
      <c r="E98" s="29" t="s">
        <v>601</v>
      </c>
      <c r="F98" s="49" t="s">
        <v>418</v>
      </c>
      <c r="G98" s="50" t="s">
        <v>21</v>
      </c>
      <c r="H98" s="34">
        <v>1</v>
      </c>
      <c r="I98" s="29" t="s">
        <v>302</v>
      </c>
      <c r="J98" s="24">
        <v>2</v>
      </c>
      <c r="K98" s="32">
        <f>VLOOKUP(E98,照明設備稼働時間!$A$4:$E$31,5,FALSE)</f>
        <v>2299</v>
      </c>
      <c r="L98" s="32" t="str">
        <f t="shared" si="2"/>
        <v>FHF32W1埋込W190</v>
      </c>
      <c r="M98" s="14">
        <f>VLOOKUP(L98,照明器具一覧!$B$4:$F$129,5,FALSE)</f>
        <v>36</v>
      </c>
      <c r="N98" s="14">
        <v>1</v>
      </c>
      <c r="O98" s="142">
        <f t="shared" si="3"/>
        <v>165.52799999999999</v>
      </c>
    </row>
    <row r="99" spans="1:15">
      <c r="A99" s="2" t="s">
        <v>720</v>
      </c>
      <c r="B99" s="78" t="s">
        <v>1499</v>
      </c>
      <c r="C99" s="48"/>
      <c r="D99" s="29" t="s">
        <v>343</v>
      </c>
      <c r="E99" s="29" t="s">
        <v>615</v>
      </c>
      <c r="F99" s="49" t="s">
        <v>496</v>
      </c>
      <c r="G99" s="50" t="s">
        <v>164</v>
      </c>
      <c r="H99" s="34">
        <v>1</v>
      </c>
      <c r="I99" s="29" t="s">
        <v>543</v>
      </c>
      <c r="J99" s="24">
        <v>1</v>
      </c>
      <c r="K99" s="32">
        <f>VLOOKUP(E99,照明設備稼働時間!$A$4:$E$31,5,FALSE)</f>
        <v>4380</v>
      </c>
      <c r="L99" s="32" t="str">
        <f t="shared" si="2"/>
        <v>FL20W1ブラケット 「夜間・休日受付」</v>
      </c>
      <c r="M99" s="14">
        <f>VLOOKUP(L99,照明器具一覧!$B$4:$F$129,5,FALSE)</f>
        <v>22</v>
      </c>
      <c r="N99" s="14">
        <v>1</v>
      </c>
      <c r="O99" s="142">
        <f t="shared" si="3"/>
        <v>96.36</v>
      </c>
    </row>
    <row r="100" spans="1:15">
      <c r="A100" s="2" t="s">
        <v>721</v>
      </c>
      <c r="B100" s="78" t="s">
        <v>1498</v>
      </c>
      <c r="C100" s="48"/>
      <c r="D100" s="29" t="s">
        <v>343</v>
      </c>
      <c r="E100" s="29" t="s">
        <v>615</v>
      </c>
      <c r="F100" s="49" t="s">
        <v>497</v>
      </c>
      <c r="G100" s="50" t="s">
        <v>75</v>
      </c>
      <c r="H100" s="34">
        <v>1</v>
      </c>
      <c r="I100" s="29" t="s">
        <v>472</v>
      </c>
      <c r="J100" s="24">
        <v>3</v>
      </c>
      <c r="K100" s="32">
        <f>VLOOKUP(E100,照明設備稼働時間!$A$4:$E$31,5,FALSE)</f>
        <v>4380</v>
      </c>
      <c r="L100" s="32" t="str">
        <f t="shared" si="2"/>
        <v>LED1ベースライト　直付</v>
      </c>
      <c r="M100" s="14">
        <f>VLOOKUP(L100,照明器具一覧!$B$4:$F$129,5,FALSE)</f>
        <v>22</v>
      </c>
      <c r="N100" s="14">
        <v>1</v>
      </c>
      <c r="O100" s="142">
        <f t="shared" si="3"/>
        <v>289.08</v>
      </c>
    </row>
    <row r="101" spans="1:15">
      <c r="A101" s="2" t="s">
        <v>722</v>
      </c>
      <c r="B101" s="78" t="s">
        <v>1499</v>
      </c>
      <c r="C101" s="48" t="s">
        <v>295</v>
      </c>
      <c r="D101" s="29" t="s">
        <v>389</v>
      </c>
      <c r="E101" s="29" t="s">
        <v>609</v>
      </c>
      <c r="F101" s="49" t="s">
        <v>419</v>
      </c>
      <c r="G101" s="50" t="s">
        <v>21</v>
      </c>
      <c r="H101" s="34">
        <v>2</v>
      </c>
      <c r="I101" s="29" t="s">
        <v>308</v>
      </c>
      <c r="J101" s="24">
        <v>2</v>
      </c>
      <c r="K101" s="32">
        <f>VLOOKUP(E101,照明設備稼働時間!$A$4:$E$31,5,FALSE)</f>
        <v>2952</v>
      </c>
      <c r="L101" s="32" t="str">
        <f t="shared" si="2"/>
        <v>FHF32W2埋込W300</v>
      </c>
      <c r="M101" s="14">
        <f>VLOOKUP(L101,照明器具一覧!$B$4:$F$129,5,FALSE)</f>
        <v>71</v>
      </c>
      <c r="N101" s="14">
        <v>1</v>
      </c>
      <c r="O101" s="142">
        <f t="shared" si="3"/>
        <v>419.18400000000003</v>
      </c>
    </row>
    <row r="102" spans="1:15">
      <c r="A102" s="2" t="s">
        <v>723</v>
      </c>
      <c r="B102" s="78" t="s">
        <v>1499</v>
      </c>
      <c r="C102" s="48" t="s">
        <v>438</v>
      </c>
      <c r="D102" s="29" t="s">
        <v>389</v>
      </c>
      <c r="E102" s="29" t="s">
        <v>609</v>
      </c>
      <c r="F102" s="49" t="s">
        <v>419</v>
      </c>
      <c r="G102" s="50" t="s">
        <v>19</v>
      </c>
      <c r="H102" s="34">
        <v>2</v>
      </c>
      <c r="I102" s="29" t="s">
        <v>335</v>
      </c>
      <c r="J102" s="24">
        <v>1</v>
      </c>
      <c r="K102" s="32">
        <f>VLOOKUP(E102,照明設備稼働時間!$A$4:$E$31,5,FALSE)</f>
        <v>2952</v>
      </c>
      <c r="L102" s="32" t="str">
        <f t="shared" si="2"/>
        <v>FHF16W2埋込　高出力</v>
      </c>
      <c r="M102" s="14">
        <f>VLOOKUP(L102,照明器具一覧!$B$4:$F$129,5,FALSE)</f>
        <v>52</v>
      </c>
      <c r="N102" s="14">
        <v>1</v>
      </c>
      <c r="O102" s="142">
        <f t="shared" si="3"/>
        <v>153.50399999999999</v>
      </c>
    </row>
    <row r="103" spans="1:15">
      <c r="A103" s="2" t="s">
        <v>724</v>
      </c>
      <c r="B103" s="78" t="s">
        <v>1499</v>
      </c>
      <c r="C103" s="48" t="s">
        <v>282</v>
      </c>
      <c r="D103" s="29" t="s">
        <v>389</v>
      </c>
      <c r="E103" s="29" t="s">
        <v>609</v>
      </c>
      <c r="F103" s="49" t="s">
        <v>419</v>
      </c>
      <c r="G103" s="50" t="s">
        <v>21</v>
      </c>
      <c r="H103" s="34">
        <v>1</v>
      </c>
      <c r="I103" s="29" t="s">
        <v>301</v>
      </c>
      <c r="J103" s="24">
        <v>1</v>
      </c>
      <c r="K103" s="32">
        <f>VLOOKUP(E103,照明設備稼働時間!$A$4:$E$31,5,FALSE)</f>
        <v>2952</v>
      </c>
      <c r="L103" s="32" t="str">
        <f t="shared" si="2"/>
        <v>FHF32W1逆富士</v>
      </c>
      <c r="M103" s="14">
        <f>VLOOKUP(L103,照明器具一覧!$B$4:$F$129,5,FALSE)</f>
        <v>36</v>
      </c>
      <c r="N103" s="14">
        <v>1</v>
      </c>
      <c r="O103" s="142">
        <f t="shared" si="3"/>
        <v>106.27200000000001</v>
      </c>
    </row>
    <row r="104" spans="1:15">
      <c r="A104" s="2" t="s">
        <v>725</v>
      </c>
      <c r="B104" s="78" t="s">
        <v>1499</v>
      </c>
      <c r="C104" s="48" t="s">
        <v>282</v>
      </c>
      <c r="D104" s="29" t="s">
        <v>389</v>
      </c>
      <c r="E104" s="29" t="s">
        <v>609</v>
      </c>
      <c r="F104" s="49" t="s">
        <v>420</v>
      </c>
      <c r="G104" s="50" t="s">
        <v>21</v>
      </c>
      <c r="H104" s="34">
        <v>1</v>
      </c>
      <c r="I104" s="29" t="s">
        <v>301</v>
      </c>
      <c r="J104" s="24">
        <v>2</v>
      </c>
      <c r="K104" s="32">
        <f>VLOOKUP(E104,照明設備稼働時間!$A$4:$E$31,5,FALSE)</f>
        <v>2952</v>
      </c>
      <c r="L104" s="32" t="str">
        <f t="shared" si="2"/>
        <v>FHF32W1逆富士</v>
      </c>
      <c r="M104" s="14">
        <f>VLOOKUP(L104,照明器具一覧!$B$4:$F$129,5,FALSE)</f>
        <v>36</v>
      </c>
      <c r="N104" s="14">
        <v>1</v>
      </c>
      <c r="O104" s="142">
        <f t="shared" si="3"/>
        <v>212.54400000000001</v>
      </c>
    </row>
    <row r="105" spans="1:15">
      <c r="A105" s="2" t="s">
        <v>726</v>
      </c>
      <c r="B105" s="78" t="s">
        <v>1499</v>
      </c>
      <c r="C105" s="48" t="s">
        <v>295</v>
      </c>
      <c r="D105" s="29" t="s">
        <v>389</v>
      </c>
      <c r="E105" s="29" t="s">
        <v>600</v>
      </c>
      <c r="F105" s="49" t="s">
        <v>421</v>
      </c>
      <c r="G105" s="50" t="s">
        <v>21</v>
      </c>
      <c r="H105" s="34">
        <v>2</v>
      </c>
      <c r="I105" s="29" t="s">
        <v>308</v>
      </c>
      <c r="J105" s="24">
        <v>3</v>
      </c>
      <c r="K105" s="32">
        <f>VLOOKUP(E105,照明設備稼働時間!$A$4:$E$31,5,FALSE)</f>
        <v>2299</v>
      </c>
      <c r="L105" s="32" t="str">
        <f t="shared" si="2"/>
        <v>FHF32W2埋込W300</v>
      </c>
      <c r="M105" s="14">
        <f>VLOOKUP(L105,照明器具一覧!$B$4:$F$129,5,FALSE)</f>
        <v>71</v>
      </c>
      <c r="N105" s="14">
        <v>1</v>
      </c>
      <c r="O105" s="142">
        <f t="shared" si="3"/>
        <v>489.68700000000001</v>
      </c>
    </row>
    <row r="106" spans="1:15">
      <c r="A106" s="2" t="s">
        <v>727</v>
      </c>
      <c r="B106" s="78" t="s">
        <v>1499</v>
      </c>
      <c r="C106" s="48" t="s">
        <v>295</v>
      </c>
      <c r="D106" s="29" t="s">
        <v>389</v>
      </c>
      <c r="E106" s="29" t="s">
        <v>600</v>
      </c>
      <c r="F106" s="49" t="s">
        <v>422</v>
      </c>
      <c r="G106" s="50" t="s">
        <v>21</v>
      </c>
      <c r="H106" s="34">
        <v>2</v>
      </c>
      <c r="I106" s="29" t="s">
        <v>308</v>
      </c>
      <c r="J106" s="24">
        <v>4</v>
      </c>
      <c r="K106" s="32">
        <f>VLOOKUP(E106,照明設備稼働時間!$A$4:$E$31,5,FALSE)</f>
        <v>2299</v>
      </c>
      <c r="L106" s="32" t="str">
        <f t="shared" si="2"/>
        <v>FHF32W2埋込W300</v>
      </c>
      <c r="M106" s="14">
        <f>VLOOKUP(L106,照明器具一覧!$B$4:$F$129,5,FALSE)</f>
        <v>71</v>
      </c>
      <c r="N106" s="14">
        <v>1</v>
      </c>
      <c r="O106" s="142">
        <f t="shared" si="3"/>
        <v>652.91600000000005</v>
      </c>
    </row>
    <row r="107" spans="1:15">
      <c r="A107" s="2" t="s">
        <v>728</v>
      </c>
      <c r="B107" s="78" t="s">
        <v>1499</v>
      </c>
      <c r="C107" s="48" t="s">
        <v>294</v>
      </c>
      <c r="D107" s="29" t="s">
        <v>389</v>
      </c>
      <c r="E107" s="29" t="s">
        <v>606</v>
      </c>
      <c r="F107" s="49" t="s">
        <v>423</v>
      </c>
      <c r="G107" s="50" t="s">
        <v>21</v>
      </c>
      <c r="H107" s="34">
        <v>1</v>
      </c>
      <c r="I107" s="29" t="s">
        <v>251</v>
      </c>
      <c r="J107" s="24">
        <v>1</v>
      </c>
      <c r="K107" s="32">
        <f>VLOOKUP(E107,照明設備稼働時間!$A$4:$E$31,5,FALSE)</f>
        <v>242</v>
      </c>
      <c r="L107" s="32" t="str">
        <f t="shared" si="2"/>
        <v>FHF32W1笠付</v>
      </c>
      <c r="M107" s="14">
        <f>VLOOKUP(L107,照明器具一覧!$B$4:$F$129,5,FALSE)</f>
        <v>36</v>
      </c>
      <c r="N107" s="14">
        <v>1</v>
      </c>
      <c r="O107" s="142">
        <f t="shared" si="3"/>
        <v>8.7119999999999997</v>
      </c>
    </row>
    <row r="108" spans="1:15">
      <c r="A108" s="2" t="s">
        <v>729</v>
      </c>
      <c r="B108" s="78" t="s">
        <v>1499</v>
      </c>
      <c r="C108" s="48" t="s">
        <v>294</v>
      </c>
      <c r="D108" s="29" t="s">
        <v>389</v>
      </c>
      <c r="E108" s="29" t="s">
        <v>606</v>
      </c>
      <c r="F108" s="49" t="s">
        <v>424</v>
      </c>
      <c r="G108" s="50" t="s">
        <v>21</v>
      </c>
      <c r="H108" s="34">
        <v>1</v>
      </c>
      <c r="I108" s="29" t="s">
        <v>251</v>
      </c>
      <c r="J108" s="24">
        <v>2</v>
      </c>
      <c r="K108" s="32">
        <f>VLOOKUP(E108,照明設備稼働時間!$A$4:$E$31,5,FALSE)</f>
        <v>242</v>
      </c>
      <c r="L108" s="32" t="str">
        <f t="shared" si="2"/>
        <v>FHF32W1笠付</v>
      </c>
      <c r="M108" s="14">
        <f>VLOOKUP(L108,照明器具一覧!$B$4:$F$129,5,FALSE)</f>
        <v>36</v>
      </c>
      <c r="N108" s="14">
        <v>1</v>
      </c>
      <c r="O108" s="142">
        <f t="shared" si="3"/>
        <v>17.423999999999999</v>
      </c>
    </row>
    <row r="109" spans="1:15">
      <c r="A109" s="2" t="s">
        <v>730</v>
      </c>
      <c r="B109" s="78" t="s">
        <v>1499</v>
      </c>
      <c r="C109" s="48" t="s">
        <v>432</v>
      </c>
      <c r="D109" s="29" t="s">
        <v>389</v>
      </c>
      <c r="E109" s="29" t="s">
        <v>606</v>
      </c>
      <c r="F109" s="49" t="s">
        <v>425</v>
      </c>
      <c r="G109" s="50" t="s">
        <v>21</v>
      </c>
      <c r="H109" s="34">
        <v>2</v>
      </c>
      <c r="I109" s="29" t="s">
        <v>251</v>
      </c>
      <c r="J109" s="24">
        <v>1</v>
      </c>
      <c r="K109" s="32">
        <f>VLOOKUP(E109,照明設備稼働時間!$A$4:$E$31,5,FALSE)</f>
        <v>242</v>
      </c>
      <c r="L109" s="32" t="str">
        <f t="shared" si="2"/>
        <v>FHF32W2笠付</v>
      </c>
      <c r="M109" s="14">
        <f>VLOOKUP(L109,照明器具一覧!$B$4:$F$129,5,FALSE)</f>
        <v>36</v>
      </c>
      <c r="N109" s="14">
        <v>1</v>
      </c>
      <c r="O109" s="142">
        <f t="shared" si="3"/>
        <v>8.7119999999999997</v>
      </c>
    </row>
    <row r="110" spans="1:15">
      <c r="A110" s="2" t="s">
        <v>731</v>
      </c>
      <c r="B110" s="78" t="s">
        <v>1499</v>
      </c>
      <c r="C110" s="48" t="s">
        <v>294</v>
      </c>
      <c r="D110" s="29" t="s">
        <v>389</v>
      </c>
      <c r="E110" s="29" t="s">
        <v>612</v>
      </c>
      <c r="F110" s="49" t="s">
        <v>426</v>
      </c>
      <c r="G110" s="50" t="s">
        <v>21</v>
      </c>
      <c r="H110" s="34">
        <v>1</v>
      </c>
      <c r="I110" s="29" t="s">
        <v>251</v>
      </c>
      <c r="J110" s="24">
        <v>1</v>
      </c>
      <c r="K110" s="32">
        <f>VLOOKUP(E110,照明設備稼働時間!$A$4:$E$31,5,FALSE)</f>
        <v>484</v>
      </c>
      <c r="L110" s="32" t="str">
        <f t="shared" si="2"/>
        <v>FHF32W1笠付</v>
      </c>
      <c r="M110" s="14">
        <f>VLOOKUP(L110,照明器具一覧!$B$4:$F$129,5,FALSE)</f>
        <v>36</v>
      </c>
      <c r="N110" s="14">
        <v>1</v>
      </c>
      <c r="O110" s="142">
        <f t="shared" si="3"/>
        <v>17.423999999999999</v>
      </c>
    </row>
    <row r="111" spans="1:15">
      <c r="A111" s="2" t="s">
        <v>732</v>
      </c>
      <c r="B111" s="78" t="s">
        <v>1499</v>
      </c>
      <c r="C111" s="48" t="s">
        <v>82</v>
      </c>
      <c r="D111" s="29" t="s">
        <v>343</v>
      </c>
      <c r="E111" s="29" t="s">
        <v>612</v>
      </c>
      <c r="F111" s="49" t="s">
        <v>492</v>
      </c>
      <c r="G111" s="50" t="s">
        <v>21</v>
      </c>
      <c r="H111" s="34">
        <v>1</v>
      </c>
      <c r="I111" s="29" t="s">
        <v>88</v>
      </c>
      <c r="J111" s="24">
        <v>1</v>
      </c>
      <c r="K111" s="32">
        <f>VLOOKUP(E111,照明設備稼働時間!$A$4:$E$31,5,FALSE)</f>
        <v>484</v>
      </c>
      <c r="L111" s="32" t="str">
        <f t="shared" si="2"/>
        <v>FHF32W1笠付</v>
      </c>
      <c r="M111" s="14">
        <f>VLOOKUP(L111,照明器具一覧!$B$4:$F$129,5,FALSE)</f>
        <v>36</v>
      </c>
      <c r="N111" s="14">
        <v>1</v>
      </c>
      <c r="O111" s="142">
        <f t="shared" si="3"/>
        <v>17.423999999999999</v>
      </c>
    </row>
    <row r="112" spans="1:15">
      <c r="A112" s="2" t="s">
        <v>733</v>
      </c>
      <c r="B112" s="78" t="s">
        <v>1499</v>
      </c>
      <c r="C112" s="48" t="s">
        <v>432</v>
      </c>
      <c r="D112" s="29" t="s">
        <v>389</v>
      </c>
      <c r="E112" s="29" t="s">
        <v>606</v>
      </c>
      <c r="F112" s="49" t="s">
        <v>427</v>
      </c>
      <c r="G112" s="50" t="s">
        <v>21</v>
      </c>
      <c r="H112" s="34">
        <v>2</v>
      </c>
      <c r="I112" s="29" t="s">
        <v>251</v>
      </c>
      <c r="J112" s="24">
        <v>5</v>
      </c>
      <c r="K112" s="32">
        <f>VLOOKUP(E112,照明設備稼働時間!$A$4:$E$31,5,FALSE)</f>
        <v>242</v>
      </c>
      <c r="L112" s="32" t="str">
        <f t="shared" si="2"/>
        <v>FHF32W2笠付</v>
      </c>
      <c r="M112" s="14">
        <f>VLOOKUP(L112,照明器具一覧!$B$4:$F$129,5,FALSE)</f>
        <v>36</v>
      </c>
      <c r="N112" s="14">
        <v>1</v>
      </c>
      <c r="O112" s="142">
        <f t="shared" si="3"/>
        <v>43.56</v>
      </c>
    </row>
    <row r="113" spans="1:15">
      <c r="A113" s="2" t="s">
        <v>734</v>
      </c>
      <c r="B113" s="78" t="s">
        <v>1499</v>
      </c>
      <c r="C113" s="48" t="s">
        <v>294</v>
      </c>
      <c r="D113" s="29" t="s">
        <v>389</v>
      </c>
      <c r="E113" s="29" t="s">
        <v>606</v>
      </c>
      <c r="F113" s="49" t="s">
        <v>427</v>
      </c>
      <c r="G113" s="50" t="s">
        <v>21</v>
      </c>
      <c r="H113" s="34">
        <v>1</v>
      </c>
      <c r="I113" s="29" t="s">
        <v>251</v>
      </c>
      <c r="J113" s="24">
        <v>1</v>
      </c>
      <c r="K113" s="32">
        <f>VLOOKUP(E113,照明設備稼働時間!$A$4:$E$31,5,FALSE)</f>
        <v>242</v>
      </c>
      <c r="L113" s="32" t="str">
        <f t="shared" si="2"/>
        <v>FHF32W1笠付</v>
      </c>
      <c r="M113" s="14">
        <f>VLOOKUP(L113,照明器具一覧!$B$4:$F$129,5,FALSE)</f>
        <v>36</v>
      </c>
      <c r="N113" s="14">
        <v>1</v>
      </c>
      <c r="O113" s="142">
        <f t="shared" si="3"/>
        <v>8.7119999999999997</v>
      </c>
    </row>
    <row r="114" spans="1:15">
      <c r="A114" s="2" t="s">
        <v>735</v>
      </c>
      <c r="B114" s="78" t="s">
        <v>1499</v>
      </c>
      <c r="C114" s="48" t="s">
        <v>432</v>
      </c>
      <c r="D114" s="29" t="s">
        <v>389</v>
      </c>
      <c r="E114" s="29" t="s">
        <v>606</v>
      </c>
      <c r="F114" s="49" t="s">
        <v>428</v>
      </c>
      <c r="G114" s="50" t="s">
        <v>21</v>
      </c>
      <c r="H114" s="34">
        <v>2</v>
      </c>
      <c r="I114" s="29" t="s">
        <v>251</v>
      </c>
      <c r="J114" s="24">
        <v>22</v>
      </c>
      <c r="K114" s="32">
        <f>VLOOKUP(E114,照明設備稼働時間!$A$4:$E$31,5,FALSE)</f>
        <v>242</v>
      </c>
      <c r="L114" s="32" t="str">
        <f t="shared" si="2"/>
        <v>FHF32W2笠付</v>
      </c>
      <c r="M114" s="14">
        <f>VLOOKUP(L114,照明器具一覧!$B$4:$F$129,5,FALSE)</f>
        <v>36</v>
      </c>
      <c r="N114" s="14">
        <v>1</v>
      </c>
      <c r="O114" s="142">
        <f t="shared" si="3"/>
        <v>191.66399999999999</v>
      </c>
    </row>
    <row r="115" spans="1:15">
      <c r="A115" s="2" t="s">
        <v>736</v>
      </c>
      <c r="B115" s="78" t="s">
        <v>1498</v>
      </c>
      <c r="C115" s="48"/>
      <c r="D115" s="29" t="s">
        <v>389</v>
      </c>
      <c r="E115" s="29" t="s">
        <v>606</v>
      </c>
      <c r="F115" s="49" t="s">
        <v>428</v>
      </c>
      <c r="G115" s="50" t="s">
        <v>75</v>
      </c>
      <c r="H115" s="34">
        <v>1</v>
      </c>
      <c r="I115" s="29" t="s">
        <v>88</v>
      </c>
      <c r="J115" s="24">
        <v>1</v>
      </c>
      <c r="K115" s="32">
        <f>VLOOKUP(E115,照明設備稼働時間!$A$4:$E$31,5,FALSE)</f>
        <v>242</v>
      </c>
      <c r="L115" s="32" t="str">
        <f t="shared" si="2"/>
        <v>LED1笠付</v>
      </c>
      <c r="M115" s="14">
        <f>VLOOKUP(L115,照明器具一覧!$B$4:$F$129,5,FALSE)</f>
        <v>22</v>
      </c>
      <c r="N115" s="14">
        <v>1</v>
      </c>
      <c r="O115" s="142">
        <f t="shared" si="3"/>
        <v>5.3239999999999998</v>
      </c>
    </row>
    <row r="116" spans="1:15">
      <c r="A116" s="2" t="s">
        <v>737</v>
      </c>
      <c r="B116" s="78" t="s">
        <v>1499</v>
      </c>
      <c r="C116" s="48" t="s">
        <v>294</v>
      </c>
      <c r="D116" s="29" t="s">
        <v>389</v>
      </c>
      <c r="E116" s="29" t="s">
        <v>606</v>
      </c>
      <c r="F116" s="49" t="s">
        <v>428</v>
      </c>
      <c r="G116" s="50" t="s">
        <v>21</v>
      </c>
      <c r="H116" s="34">
        <v>1</v>
      </c>
      <c r="I116" s="29" t="s">
        <v>251</v>
      </c>
      <c r="J116" s="24">
        <v>13</v>
      </c>
      <c r="K116" s="32">
        <f>VLOOKUP(E116,照明設備稼働時間!$A$4:$E$31,5,FALSE)</f>
        <v>242</v>
      </c>
      <c r="L116" s="32" t="str">
        <f t="shared" si="2"/>
        <v>FHF32W1笠付</v>
      </c>
      <c r="M116" s="14">
        <f>VLOOKUP(L116,照明器具一覧!$B$4:$F$129,5,FALSE)</f>
        <v>36</v>
      </c>
      <c r="N116" s="14">
        <v>1</v>
      </c>
      <c r="O116" s="142">
        <f t="shared" si="3"/>
        <v>113.256</v>
      </c>
    </row>
    <row r="117" spans="1:15">
      <c r="A117" s="2" t="s">
        <v>738</v>
      </c>
      <c r="B117" s="78" t="s">
        <v>1499</v>
      </c>
      <c r="C117" s="48"/>
      <c r="D117" s="29" t="s">
        <v>389</v>
      </c>
      <c r="E117" s="29" t="s">
        <v>612</v>
      </c>
      <c r="F117" s="49" t="s">
        <v>429</v>
      </c>
      <c r="G117" s="50" t="s">
        <v>384</v>
      </c>
      <c r="H117" s="34">
        <v>1</v>
      </c>
      <c r="I117" s="29" t="s">
        <v>251</v>
      </c>
      <c r="J117" s="24">
        <v>8</v>
      </c>
      <c r="K117" s="32">
        <f>VLOOKUP(E117,照明設備稼働時間!$A$4:$E$31,5,FALSE)</f>
        <v>484</v>
      </c>
      <c r="L117" s="32" t="str">
        <f t="shared" si="2"/>
        <v>FHF32W1笠付</v>
      </c>
      <c r="M117" s="14">
        <f>VLOOKUP(L117,照明器具一覧!$B$4:$F$129,5,FALSE)</f>
        <v>36</v>
      </c>
      <c r="N117" s="14">
        <v>1</v>
      </c>
      <c r="O117" s="142">
        <f t="shared" si="3"/>
        <v>139.392</v>
      </c>
    </row>
    <row r="118" spans="1:15">
      <c r="A118" s="2" t="s">
        <v>739</v>
      </c>
      <c r="B118" s="78" t="s">
        <v>1499</v>
      </c>
      <c r="C118" s="48"/>
      <c r="D118" s="29" t="s">
        <v>389</v>
      </c>
      <c r="E118" s="29" t="s">
        <v>601</v>
      </c>
      <c r="F118" s="49" t="s">
        <v>430</v>
      </c>
      <c r="G118" s="50" t="s">
        <v>373</v>
      </c>
      <c r="H118" s="34">
        <v>1</v>
      </c>
      <c r="I118" s="29" t="s">
        <v>73</v>
      </c>
      <c r="J118" s="24">
        <v>1</v>
      </c>
      <c r="K118" s="32">
        <f>VLOOKUP(E118,照明設備稼働時間!$A$4:$E$31,5,FALSE)</f>
        <v>2299</v>
      </c>
      <c r="L118" s="32" t="str">
        <f t="shared" si="2"/>
        <v>IL60W1ダウンライト</v>
      </c>
      <c r="M118" s="14">
        <f>VLOOKUP(L118,照明器具一覧!$B$4:$F$129,5,FALSE)</f>
        <v>60</v>
      </c>
      <c r="N118" s="14">
        <v>1</v>
      </c>
      <c r="O118" s="142">
        <f t="shared" si="3"/>
        <v>137.94</v>
      </c>
    </row>
    <row r="119" spans="1:15">
      <c r="A119" s="2" t="s">
        <v>740</v>
      </c>
      <c r="B119" s="78" t="s">
        <v>1499</v>
      </c>
      <c r="C119" s="29" t="s">
        <v>67</v>
      </c>
      <c r="D119" s="29" t="s">
        <v>343</v>
      </c>
      <c r="E119" s="29" t="s">
        <v>77</v>
      </c>
      <c r="F119" s="29" t="s">
        <v>57</v>
      </c>
      <c r="G119" s="29" t="s">
        <v>97</v>
      </c>
      <c r="H119" s="34">
        <v>1</v>
      </c>
      <c r="I119" s="29" t="s">
        <v>594</v>
      </c>
      <c r="J119" s="29">
        <v>1</v>
      </c>
      <c r="K119" s="32">
        <f>VLOOKUP(E119,照明設備稼働時間!$A$4:$E$31,5,FALSE)</f>
        <v>8760</v>
      </c>
      <c r="L119" s="32" t="str">
        <f t="shared" si="2"/>
        <v>CF2.2W1誘導灯C級片面</v>
      </c>
      <c r="M119" s="14">
        <f>VLOOKUP(L119,照明器具一覧!$B$4:$F$129,5,FALSE)</f>
        <v>4</v>
      </c>
      <c r="N119" s="14">
        <v>1</v>
      </c>
      <c r="O119" s="142">
        <f t="shared" si="3"/>
        <v>35.04</v>
      </c>
    </row>
    <row r="120" spans="1:15">
      <c r="A120" s="2" t="s">
        <v>741</v>
      </c>
      <c r="B120" s="78" t="s">
        <v>1499</v>
      </c>
      <c r="C120" s="29" t="s">
        <v>67</v>
      </c>
      <c r="D120" s="29" t="s">
        <v>389</v>
      </c>
      <c r="E120" s="29" t="s">
        <v>77</v>
      </c>
      <c r="F120" s="49" t="s">
        <v>397</v>
      </c>
      <c r="G120" s="29" t="s">
        <v>97</v>
      </c>
      <c r="H120" s="34">
        <v>1</v>
      </c>
      <c r="I120" s="29" t="s">
        <v>594</v>
      </c>
      <c r="J120" s="29">
        <v>1</v>
      </c>
      <c r="K120" s="32">
        <f>VLOOKUP(E120,照明設備稼働時間!$A$4:$E$31,5,FALSE)</f>
        <v>8760</v>
      </c>
      <c r="L120" s="32" t="str">
        <f t="shared" si="2"/>
        <v>CF2.2W1誘導灯C級片面</v>
      </c>
      <c r="M120" s="14">
        <f>VLOOKUP(L120,照明器具一覧!$B$4:$F$129,5,FALSE)</f>
        <v>4</v>
      </c>
      <c r="N120" s="14">
        <v>1</v>
      </c>
      <c r="O120" s="142">
        <f t="shared" si="3"/>
        <v>35.04</v>
      </c>
    </row>
    <row r="121" spans="1:15">
      <c r="A121" s="2" t="s">
        <v>742</v>
      </c>
      <c r="B121" s="78" t="s">
        <v>1499</v>
      </c>
      <c r="C121" s="29" t="s">
        <v>68</v>
      </c>
      <c r="D121" s="29" t="s">
        <v>389</v>
      </c>
      <c r="E121" s="29" t="s">
        <v>77</v>
      </c>
      <c r="F121" s="49" t="s">
        <v>397</v>
      </c>
      <c r="G121" s="29" t="s">
        <v>98</v>
      </c>
      <c r="H121" s="34">
        <v>1</v>
      </c>
      <c r="I121" s="29" t="s">
        <v>594</v>
      </c>
      <c r="J121" s="29">
        <v>1</v>
      </c>
      <c r="K121" s="32">
        <f>VLOOKUP(E121,照明設備稼働時間!$A$4:$E$31,5,FALSE)</f>
        <v>8760</v>
      </c>
      <c r="L121" s="32" t="str">
        <f t="shared" si="2"/>
        <v>CF2W1誘導灯C級片面</v>
      </c>
      <c r="M121" s="14">
        <f>VLOOKUP(L121,照明器具一覧!$B$4:$F$129,5,FALSE)</f>
        <v>4</v>
      </c>
      <c r="N121" s="14">
        <v>1</v>
      </c>
      <c r="O121" s="142">
        <f t="shared" si="3"/>
        <v>35.04</v>
      </c>
    </row>
    <row r="122" spans="1:15">
      <c r="A122" s="2" t="s">
        <v>743</v>
      </c>
      <c r="B122" s="78" t="s">
        <v>1499</v>
      </c>
      <c r="C122" s="29" t="s">
        <v>67</v>
      </c>
      <c r="D122" s="29" t="s">
        <v>343</v>
      </c>
      <c r="E122" s="29" t="s">
        <v>77</v>
      </c>
      <c r="F122" s="29" t="s">
        <v>65</v>
      </c>
      <c r="G122" s="29" t="s">
        <v>97</v>
      </c>
      <c r="H122" s="34">
        <v>1</v>
      </c>
      <c r="I122" s="29" t="s">
        <v>594</v>
      </c>
      <c r="J122" s="29">
        <v>1</v>
      </c>
      <c r="K122" s="32">
        <f>VLOOKUP(E122,照明設備稼働時間!$A$4:$E$31,5,FALSE)</f>
        <v>8760</v>
      </c>
      <c r="L122" s="32" t="str">
        <f t="shared" si="2"/>
        <v>CF2.2W1誘導灯C級片面</v>
      </c>
      <c r="M122" s="14">
        <f>VLOOKUP(L122,照明器具一覧!$B$4:$F$129,5,FALSE)</f>
        <v>4</v>
      </c>
      <c r="N122" s="14">
        <v>1</v>
      </c>
      <c r="O122" s="142">
        <f t="shared" si="3"/>
        <v>35.04</v>
      </c>
    </row>
    <row r="123" spans="1:15">
      <c r="A123" s="2" t="s">
        <v>744</v>
      </c>
      <c r="B123" s="78" t="s">
        <v>1499</v>
      </c>
      <c r="C123" s="29" t="s">
        <v>67</v>
      </c>
      <c r="D123" s="29" t="s">
        <v>343</v>
      </c>
      <c r="E123" s="29" t="s">
        <v>77</v>
      </c>
      <c r="F123" s="29" t="s">
        <v>453</v>
      </c>
      <c r="G123" s="29" t="s">
        <v>97</v>
      </c>
      <c r="H123" s="34">
        <v>1</v>
      </c>
      <c r="I123" s="29" t="s">
        <v>594</v>
      </c>
      <c r="J123" s="29">
        <v>1</v>
      </c>
      <c r="K123" s="32">
        <f>VLOOKUP(E123,照明設備稼働時間!$A$4:$E$31,5,FALSE)</f>
        <v>8760</v>
      </c>
      <c r="L123" s="32" t="str">
        <f t="shared" si="2"/>
        <v>CF2.2W1誘導灯C級片面</v>
      </c>
      <c r="M123" s="14">
        <f>VLOOKUP(L123,照明器具一覧!$B$4:$F$129,5,FALSE)</f>
        <v>4</v>
      </c>
      <c r="N123" s="14">
        <v>1</v>
      </c>
      <c r="O123" s="142">
        <f t="shared" si="3"/>
        <v>35.04</v>
      </c>
    </row>
    <row r="124" spans="1:15">
      <c r="A124" s="2" t="s">
        <v>745</v>
      </c>
      <c r="B124" s="78" t="s">
        <v>1499</v>
      </c>
      <c r="C124" s="29" t="s">
        <v>67</v>
      </c>
      <c r="D124" s="29" t="s">
        <v>389</v>
      </c>
      <c r="E124" s="29" t="s">
        <v>77</v>
      </c>
      <c r="F124" s="49" t="s">
        <v>265</v>
      </c>
      <c r="G124" s="29" t="s">
        <v>97</v>
      </c>
      <c r="H124" s="34">
        <v>1</v>
      </c>
      <c r="I124" s="29" t="s">
        <v>594</v>
      </c>
      <c r="J124" s="29">
        <v>1</v>
      </c>
      <c r="K124" s="32">
        <f>VLOOKUP(E124,照明設備稼働時間!$A$4:$E$31,5,FALSE)</f>
        <v>8760</v>
      </c>
      <c r="L124" s="32" t="str">
        <f t="shared" si="2"/>
        <v>CF2.2W1誘導灯C級片面</v>
      </c>
      <c r="M124" s="14">
        <f>VLOOKUP(L124,照明器具一覧!$B$4:$F$129,5,FALSE)</f>
        <v>4</v>
      </c>
      <c r="N124" s="14">
        <v>1</v>
      </c>
      <c r="O124" s="142">
        <f t="shared" si="3"/>
        <v>35.04</v>
      </c>
    </row>
    <row r="125" spans="1:15">
      <c r="A125" s="2" t="s">
        <v>746</v>
      </c>
      <c r="B125" s="78" t="s">
        <v>1499</v>
      </c>
      <c r="C125" s="29" t="s">
        <v>162</v>
      </c>
      <c r="D125" s="29" t="s">
        <v>389</v>
      </c>
      <c r="E125" s="29" t="s">
        <v>77</v>
      </c>
      <c r="F125" s="49" t="s">
        <v>391</v>
      </c>
      <c r="G125" s="29" t="s">
        <v>97</v>
      </c>
      <c r="H125" s="34">
        <v>1</v>
      </c>
      <c r="I125" s="29" t="s">
        <v>595</v>
      </c>
      <c r="J125" s="29">
        <v>1</v>
      </c>
      <c r="K125" s="32">
        <f>VLOOKUP(E125,照明設備稼働時間!$A$4:$E$31,5,FALSE)</f>
        <v>8760</v>
      </c>
      <c r="L125" s="32" t="str">
        <f t="shared" si="2"/>
        <v>CF2.2W1誘導灯C級両面</v>
      </c>
      <c r="M125" s="14">
        <f>VLOOKUP(L125,照明器具一覧!$B$4:$F$129,5,FALSE)</f>
        <v>7</v>
      </c>
      <c r="N125" s="14">
        <v>1</v>
      </c>
      <c r="O125" s="142">
        <f t="shared" si="3"/>
        <v>61.32</v>
      </c>
    </row>
    <row r="126" spans="1:15">
      <c r="A126" s="2" t="s">
        <v>747</v>
      </c>
      <c r="B126" s="78" t="s">
        <v>1499</v>
      </c>
      <c r="C126" s="29" t="s">
        <v>67</v>
      </c>
      <c r="D126" s="29" t="s">
        <v>389</v>
      </c>
      <c r="E126" s="29" t="s">
        <v>77</v>
      </c>
      <c r="F126" s="49" t="s">
        <v>401</v>
      </c>
      <c r="G126" s="29" t="s">
        <v>97</v>
      </c>
      <c r="H126" s="34">
        <v>1</v>
      </c>
      <c r="I126" s="29" t="s">
        <v>594</v>
      </c>
      <c r="J126" s="29">
        <v>1</v>
      </c>
      <c r="K126" s="32">
        <f>VLOOKUP(E126,照明設備稼働時間!$A$4:$E$31,5,FALSE)</f>
        <v>8760</v>
      </c>
      <c r="L126" s="32" t="str">
        <f t="shared" si="2"/>
        <v>CF2.2W1誘導灯C級片面</v>
      </c>
      <c r="M126" s="14">
        <f>VLOOKUP(L126,照明器具一覧!$B$4:$F$129,5,FALSE)</f>
        <v>4</v>
      </c>
      <c r="N126" s="14">
        <v>1</v>
      </c>
      <c r="O126" s="142">
        <f t="shared" si="3"/>
        <v>35.04</v>
      </c>
    </row>
    <row r="127" spans="1:15">
      <c r="A127" s="2" t="s">
        <v>748</v>
      </c>
      <c r="B127" s="78" t="s">
        <v>1499</v>
      </c>
      <c r="C127" s="29" t="s">
        <v>67</v>
      </c>
      <c r="D127" s="29" t="s">
        <v>389</v>
      </c>
      <c r="E127" s="29" t="s">
        <v>77</v>
      </c>
      <c r="F127" s="49" t="s">
        <v>451</v>
      </c>
      <c r="G127" s="29" t="s">
        <v>97</v>
      </c>
      <c r="H127" s="34">
        <v>1</v>
      </c>
      <c r="I127" s="29" t="s">
        <v>594</v>
      </c>
      <c r="J127" s="29">
        <v>2</v>
      </c>
      <c r="K127" s="32">
        <f>VLOOKUP(E127,照明設備稼働時間!$A$4:$E$31,5,FALSE)</f>
        <v>8760</v>
      </c>
      <c r="L127" s="32" t="str">
        <f t="shared" si="2"/>
        <v>CF2.2W1誘導灯C級片面</v>
      </c>
      <c r="M127" s="14">
        <f>VLOOKUP(L127,照明器具一覧!$B$4:$F$129,5,FALSE)</f>
        <v>4</v>
      </c>
      <c r="N127" s="14">
        <v>1</v>
      </c>
      <c r="O127" s="142">
        <f t="shared" si="3"/>
        <v>70.08</v>
      </c>
    </row>
    <row r="128" spans="1:15">
      <c r="A128" s="2" t="s">
        <v>749</v>
      </c>
      <c r="B128" s="78" t="s">
        <v>1499</v>
      </c>
      <c r="C128" s="29" t="s">
        <v>68</v>
      </c>
      <c r="D128" s="29" t="s">
        <v>389</v>
      </c>
      <c r="E128" s="29" t="s">
        <v>77</v>
      </c>
      <c r="F128" s="49" t="s">
        <v>405</v>
      </c>
      <c r="G128" s="29" t="s">
        <v>98</v>
      </c>
      <c r="H128" s="34">
        <v>1</v>
      </c>
      <c r="I128" s="29" t="s">
        <v>594</v>
      </c>
      <c r="J128" s="29">
        <v>1</v>
      </c>
      <c r="K128" s="32">
        <f>VLOOKUP(E128,照明設備稼働時間!$A$4:$E$31,5,FALSE)</f>
        <v>8760</v>
      </c>
      <c r="L128" s="32" t="str">
        <f t="shared" si="2"/>
        <v>CF2W1誘導灯C級片面</v>
      </c>
      <c r="M128" s="14">
        <f>VLOOKUP(L128,照明器具一覧!$B$4:$F$129,5,FALSE)</f>
        <v>4</v>
      </c>
      <c r="N128" s="14">
        <v>1</v>
      </c>
      <c r="O128" s="142">
        <f t="shared" si="3"/>
        <v>35.04</v>
      </c>
    </row>
    <row r="129" spans="1:15">
      <c r="A129" s="2" t="s">
        <v>750</v>
      </c>
      <c r="B129" s="78" t="s">
        <v>1499</v>
      </c>
      <c r="C129" s="29" t="s">
        <v>67</v>
      </c>
      <c r="D129" s="29" t="s">
        <v>389</v>
      </c>
      <c r="E129" s="29" t="s">
        <v>77</v>
      </c>
      <c r="F129" s="49" t="s">
        <v>405</v>
      </c>
      <c r="G129" s="29" t="s">
        <v>97</v>
      </c>
      <c r="H129" s="34">
        <v>1</v>
      </c>
      <c r="I129" s="29" t="s">
        <v>594</v>
      </c>
      <c r="J129" s="29">
        <v>1</v>
      </c>
      <c r="K129" s="32">
        <f>VLOOKUP(E129,照明設備稼働時間!$A$4:$E$31,5,FALSE)</f>
        <v>8760</v>
      </c>
      <c r="L129" s="32" t="str">
        <f t="shared" si="2"/>
        <v>CF2.2W1誘導灯C級片面</v>
      </c>
      <c r="M129" s="14">
        <f>VLOOKUP(L129,照明器具一覧!$B$4:$F$129,5,FALSE)</f>
        <v>4</v>
      </c>
      <c r="N129" s="14">
        <v>1</v>
      </c>
      <c r="O129" s="142">
        <f t="shared" si="3"/>
        <v>35.04</v>
      </c>
    </row>
    <row r="130" spans="1:15">
      <c r="A130" s="2" t="s">
        <v>751</v>
      </c>
      <c r="B130" s="78" t="s">
        <v>1499</v>
      </c>
      <c r="C130" s="29" t="s">
        <v>67</v>
      </c>
      <c r="D130" s="29" t="s">
        <v>389</v>
      </c>
      <c r="E130" s="29" t="s">
        <v>77</v>
      </c>
      <c r="F130" s="49" t="s">
        <v>412</v>
      </c>
      <c r="G130" s="29" t="s">
        <v>97</v>
      </c>
      <c r="H130" s="34">
        <v>1</v>
      </c>
      <c r="I130" s="29" t="s">
        <v>594</v>
      </c>
      <c r="J130" s="29">
        <v>1</v>
      </c>
      <c r="K130" s="32">
        <f>VLOOKUP(E130,照明設備稼働時間!$A$4:$E$31,5,FALSE)</f>
        <v>8760</v>
      </c>
      <c r="L130" s="32" t="str">
        <f t="shared" si="2"/>
        <v>CF2.2W1誘導灯C級片面</v>
      </c>
      <c r="M130" s="14">
        <f>VLOOKUP(L130,照明器具一覧!$B$4:$F$129,5,FALSE)</f>
        <v>4</v>
      </c>
      <c r="N130" s="14">
        <v>1</v>
      </c>
      <c r="O130" s="142">
        <f t="shared" si="3"/>
        <v>35.04</v>
      </c>
    </row>
    <row r="131" spans="1:15">
      <c r="A131" s="2" t="s">
        <v>752</v>
      </c>
      <c r="B131" s="78" t="s">
        <v>1499</v>
      </c>
      <c r="C131" s="29" t="s">
        <v>67</v>
      </c>
      <c r="D131" s="29" t="s">
        <v>389</v>
      </c>
      <c r="E131" s="29" t="s">
        <v>77</v>
      </c>
      <c r="F131" s="49" t="s">
        <v>418</v>
      </c>
      <c r="G131" s="29" t="s">
        <v>97</v>
      </c>
      <c r="H131" s="34">
        <v>1</v>
      </c>
      <c r="I131" s="29" t="s">
        <v>594</v>
      </c>
      <c r="J131" s="29">
        <v>1</v>
      </c>
      <c r="K131" s="32">
        <f>VLOOKUP(E131,照明設備稼働時間!$A$4:$E$31,5,FALSE)</f>
        <v>8760</v>
      </c>
      <c r="L131" s="32" t="str">
        <f t="shared" si="2"/>
        <v>CF2.2W1誘導灯C級片面</v>
      </c>
      <c r="M131" s="14">
        <f>VLOOKUP(L131,照明器具一覧!$B$4:$F$129,5,FALSE)</f>
        <v>4</v>
      </c>
      <c r="N131" s="14">
        <v>1</v>
      </c>
      <c r="O131" s="142">
        <f t="shared" si="3"/>
        <v>35.04</v>
      </c>
    </row>
    <row r="132" spans="1:15">
      <c r="A132" s="2" t="s">
        <v>753</v>
      </c>
      <c r="B132" s="78" t="s">
        <v>1499</v>
      </c>
      <c r="C132" s="29" t="s">
        <v>221</v>
      </c>
      <c r="D132" s="29" t="s">
        <v>389</v>
      </c>
      <c r="E132" s="29" t="s">
        <v>77</v>
      </c>
      <c r="F132" s="49" t="s">
        <v>393</v>
      </c>
      <c r="G132" s="29" t="s">
        <v>224</v>
      </c>
      <c r="H132" s="34">
        <v>1</v>
      </c>
      <c r="I132" s="29" t="s">
        <v>596</v>
      </c>
      <c r="J132" s="29">
        <v>2</v>
      </c>
      <c r="K132" s="32">
        <f>VLOOKUP(E132,照明設備稼働時間!$A$4:$E$31,5,FALSE)</f>
        <v>8760</v>
      </c>
      <c r="L132" s="32" t="str">
        <f t="shared" ref="L132:L195" si="4">G132&amp;H132&amp;I132</f>
        <v>CF3W1誘導灯B級BL片面</v>
      </c>
      <c r="M132" s="14">
        <f>VLOOKUP(L132,照明器具一覧!$B$4:$F$129,5,FALSE)</f>
        <v>6</v>
      </c>
      <c r="N132" s="14">
        <v>1</v>
      </c>
      <c r="O132" s="142">
        <f t="shared" si="3"/>
        <v>105.12</v>
      </c>
    </row>
    <row r="133" spans="1:15">
      <c r="A133" s="2" t="s">
        <v>754</v>
      </c>
      <c r="B133" s="78" t="s">
        <v>1499</v>
      </c>
      <c r="C133" s="29" t="s">
        <v>221</v>
      </c>
      <c r="D133" s="29" t="s">
        <v>389</v>
      </c>
      <c r="E133" s="29" t="s">
        <v>77</v>
      </c>
      <c r="F133" s="49" t="s">
        <v>428</v>
      </c>
      <c r="G133" s="29" t="s">
        <v>224</v>
      </c>
      <c r="H133" s="34">
        <v>1</v>
      </c>
      <c r="I133" s="29" t="s">
        <v>596</v>
      </c>
      <c r="J133" s="29">
        <v>1</v>
      </c>
      <c r="K133" s="32">
        <f>VLOOKUP(E133,照明設備稼働時間!$A$4:$E$31,5,FALSE)</f>
        <v>8760</v>
      </c>
      <c r="L133" s="32" t="str">
        <f t="shared" si="4"/>
        <v>CF3W1誘導灯B級BL片面</v>
      </c>
      <c r="M133" s="14">
        <f>VLOOKUP(L133,照明器具一覧!$B$4:$F$129,5,FALSE)</f>
        <v>6</v>
      </c>
      <c r="N133" s="14">
        <v>1</v>
      </c>
      <c r="O133" s="142">
        <f t="shared" ref="O133:O196" si="5">(M133*J133*K133*N133)/1000</f>
        <v>52.56</v>
      </c>
    </row>
    <row r="134" spans="1:15">
      <c r="A134" s="2" t="s">
        <v>755</v>
      </c>
      <c r="B134" s="78" t="s">
        <v>1499</v>
      </c>
      <c r="C134" s="29" t="s">
        <v>134</v>
      </c>
      <c r="D134" s="29" t="s">
        <v>389</v>
      </c>
      <c r="E134" s="29" t="s">
        <v>77</v>
      </c>
      <c r="F134" s="49" t="s">
        <v>452</v>
      </c>
      <c r="G134" s="29" t="s">
        <v>97</v>
      </c>
      <c r="H134" s="34">
        <v>1</v>
      </c>
      <c r="I134" s="29" t="s">
        <v>594</v>
      </c>
      <c r="J134" s="29">
        <v>1</v>
      </c>
      <c r="K134" s="32">
        <f>VLOOKUP(E134,照明設備稼働時間!$A$4:$E$31,5,FALSE)</f>
        <v>8760</v>
      </c>
      <c r="L134" s="32" t="str">
        <f t="shared" si="4"/>
        <v>CF2.2W1誘導灯C級片面</v>
      </c>
      <c r="M134" s="14">
        <f>VLOOKUP(L134,照明器具一覧!$B$4:$F$129,5,FALSE)</f>
        <v>4</v>
      </c>
      <c r="N134" s="14">
        <v>1</v>
      </c>
      <c r="O134" s="142">
        <f t="shared" si="5"/>
        <v>35.04</v>
      </c>
    </row>
    <row r="135" spans="1:15">
      <c r="A135" s="2" t="s">
        <v>756</v>
      </c>
      <c r="B135" s="78" t="s">
        <v>1499</v>
      </c>
      <c r="C135" s="29" t="s">
        <v>68</v>
      </c>
      <c r="D135" s="29" t="s">
        <v>343</v>
      </c>
      <c r="E135" s="29" t="s">
        <v>77</v>
      </c>
      <c r="F135" s="29" t="s">
        <v>11</v>
      </c>
      <c r="G135" s="29" t="s">
        <v>98</v>
      </c>
      <c r="H135" s="34">
        <v>1</v>
      </c>
      <c r="I135" s="29" t="s">
        <v>594</v>
      </c>
      <c r="J135" s="29">
        <v>1</v>
      </c>
      <c r="K135" s="32">
        <f>VLOOKUP(E135,照明設備稼働時間!$A$4:$E$31,5,FALSE)</f>
        <v>8760</v>
      </c>
      <c r="L135" s="32" t="str">
        <f t="shared" si="4"/>
        <v>CF2W1誘導灯C級片面</v>
      </c>
      <c r="M135" s="14">
        <f>VLOOKUP(L135,照明器具一覧!$B$4:$F$129,5,FALSE)</f>
        <v>4</v>
      </c>
      <c r="N135" s="14">
        <v>1</v>
      </c>
      <c r="O135" s="142">
        <f t="shared" si="5"/>
        <v>35.04</v>
      </c>
    </row>
    <row r="136" spans="1:15">
      <c r="A136" s="2" t="s">
        <v>757</v>
      </c>
      <c r="B136" s="78" t="s">
        <v>1499</v>
      </c>
      <c r="C136" s="29" t="s">
        <v>162</v>
      </c>
      <c r="D136" s="29" t="s">
        <v>343</v>
      </c>
      <c r="E136" s="29" t="s">
        <v>77</v>
      </c>
      <c r="F136" s="29" t="s">
        <v>11</v>
      </c>
      <c r="G136" s="29" t="s">
        <v>97</v>
      </c>
      <c r="H136" s="34">
        <v>1</v>
      </c>
      <c r="I136" s="29" t="s">
        <v>595</v>
      </c>
      <c r="J136" s="29">
        <v>1</v>
      </c>
      <c r="K136" s="32">
        <f>VLOOKUP(E136,照明設備稼働時間!$A$4:$E$31,5,FALSE)</f>
        <v>8760</v>
      </c>
      <c r="L136" s="32" t="str">
        <f t="shared" si="4"/>
        <v>CF2.2W1誘導灯C級両面</v>
      </c>
      <c r="M136" s="14">
        <f>VLOOKUP(L136,照明器具一覧!$B$4:$F$129,5,FALSE)</f>
        <v>7</v>
      </c>
      <c r="N136" s="14">
        <v>1</v>
      </c>
      <c r="O136" s="142">
        <f t="shared" si="5"/>
        <v>61.32</v>
      </c>
    </row>
    <row r="137" spans="1:15">
      <c r="A137" s="2" t="s">
        <v>758</v>
      </c>
      <c r="B137" s="78" t="s">
        <v>1499</v>
      </c>
      <c r="C137" s="29" t="s">
        <v>134</v>
      </c>
      <c r="D137" s="29" t="s">
        <v>343</v>
      </c>
      <c r="E137" s="29" t="s">
        <v>77</v>
      </c>
      <c r="F137" s="29" t="s">
        <v>11</v>
      </c>
      <c r="G137" s="29" t="s">
        <v>97</v>
      </c>
      <c r="H137" s="34">
        <v>1</v>
      </c>
      <c r="I137" s="29" t="s">
        <v>594</v>
      </c>
      <c r="J137" s="29">
        <v>1</v>
      </c>
      <c r="K137" s="32">
        <f>VLOOKUP(E137,照明設備稼働時間!$A$4:$E$31,5,FALSE)</f>
        <v>8760</v>
      </c>
      <c r="L137" s="32" t="str">
        <f t="shared" si="4"/>
        <v>CF2.2W1誘導灯C級片面</v>
      </c>
      <c r="M137" s="14">
        <f>VLOOKUP(L137,照明器具一覧!$B$4:$F$129,5,FALSE)</f>
        <v>4</v>
      </c>
      <c r="N137" s="14">
        <v>1</v>
      </c>
      <c r="O137" s="142">
        <f t="shared" si="5"/>
        <v>35.04</v>
      </c>
    </row>
    <row r="138" spans="1:15">
      <c r="A138" s="2" t="s">
        <v>759</v>
      </c>
      <c r="B138" s="78" t="s">
        <v>1499</v>
      </c>
      <c r="C138" s="29"/>
      <c r="D138" s="29" t="s">
        <v>389</v>
      </c>
      <c r="E138" s="29" t="s">
        <v>624</v>
      </c>
      <c r="F138" s="29" t="s">
        <v>71</v>
      </c>
      <c r="G138" s="29" t="s">
        <v>72</v>
      </c>
      <c r="H138" s="34">
        <v>1</v>
      </c>
      <c r="I138" s="29" t="s">
        <v>585</v>
      </c>
      <c r="J138" s="29">
        <v>37</v>
      </c>
      <c r="K138" s="32">
        <f>VLOOKUP(E138,照明設備稼働時間!$A$4:$E$31,5,FALSE)</f>
        <v>0</v>
      </c>
      <c r="L138" s="32" t="str">
        <f t="shared" si="4"/>
        <v>IL60W1非常照明　電源別置型</v>
      </c>
      <c r="M138" s="14">
        <f>VLOOKUP(L138,照明器具一覧!$B$4:$F$129,5,FALSE)</f>
        <v>60</v>
      </c>
      <c r="N138" s="14">
        <v>1</v>
      </c>
      <c r="O138" s="142">
        <f t="shared" si="5"/>
        <v>0</v>
      </c>
    </row>
    <row r="139" spans="1:15">
      <c r="A139" s="2" t="s">
        <v>760</v>
      </c>
      <c r="B139" s="78" t="s">
        <v>1499</v>
      </c>
      <c r="C139" s="29" t="s">
        <v>581</v>
      </c>
      <c r="D139" s="29" t="s">
        <v>389</v>
      </c>
      <c r="E139" s="29" t="s">
        <v>624</v>
      </c>
      <c r="F139" s="29" t="s">
        <v>71</v>
      </c>
      <c r="G139" s="29" t="s">
        <v>218</v>
      </c>
      <c r="H139" s="34">
        <v>1</v>
      </c>
      <c r="I139" s="29" t="s">
        <v>585</v>
      </c>
      <c r="J139" s="29">
        <v>20</v>
      </c>
      <c r="K139" s="32">
        <f>VLOOKUP(E139,照明設備稼働時間!$A$4:$E$31,5,FALSE)</f>
        <v>0</v>
      </c>
      <c r="L139" s="32" t="str">
        <f t="shared" si="4"/>
        <v>IL40W1非常照明　電源別置型</v>
      </c>
      <c r="M139" s="14">
        <f>VLOOKUP(L139,照明器具一覧!$B$4:$F$129,5,FALSE)</f>
        <v>40</v>
      </c>
      <c r="N139" s="14">
        <v>1</v>
      </c>
      <c r="O139" s="142">
        <f t="shared" si="5"/>
        <v>0</v>
      </c>
    </row>
    <row r="140" spans="1:15">
      <c r="A140" s="2" t="s">
        <v>761</v>
      </c>
      <c r="B140" s="78" t="s">
        <v>1499</v>
      </c>
      <c r="C140" s="29" t="s">
        <v>582</v>
      </c>
      <c r="D140" s="29" t="s">
        <v>389</v>
      </c>
      <c r="E140" s="29" t="s">
        <v>624</v>
      </c>
      <c r="F140" s="29" t="s">
        <v>71</v>
      </c>
      <c r="G140" s="29" t="s">
        <v>218</v>
      </c>
      <c r="H140" s="34">
        <v>1</v>
      </c>
      <c r="I140" s="29" t="s">
        <v>585</v>
      </c>
      <c r="J140" s="29">
        <v>20</v>
      </c>
      <c r="K140" s="32">
        <f>VLOOKUP(E140,照明設備稼働時間!$A$4:$E$31,5,FALSE)</f>
        <v>0</v>
      </c>
      <c r="L140" s="32" t="str">
        <f t="shared" si="4"/>
        <v>IL40W1非常照明　電源別置型</v>
      </c>
      <c r="M140" s="14">
        <f>VLOOKUP(L140,照明器具一覧!$B$4:$F$129,5,FALSE)</f>
        <v>40</v>
      </c>
      <c r="N140" s="14">
        <v>1</v>
      </c>
      <c r="O140" s="142">
        <f t="shared" si="5"/>
        <v>0</v>
      </c>
    </row>
    <row r="141" spans="1:15">
      <c r="A141" s="2" t="s">
        <v>762</v>
      </c>
      <c r="B141" s="78" t="s">
        <v>1499</v>
      </c>
      <c r="C141" s="29" t="s">
        <v>583</v>
      </c>
      <c r="D141" s="29" t="s">
        <v>389</v>
      </c>
      <c r="E141" s="29" t="s">
        <v>624</v>
      </c>
      <c r="F141" s="29" t="s">
        <v>71</v>
      </c>
      <c r="G141" s="29" t="s">
        <v>218</v>
      </c>
      <c r="H141" s="34">
        <v>1</v>
      </c>
      <c r="I141" s="29" t="s">
        <v>584</v>
      </c>
      <c r="J141" s="29">
        <v>5</v>
      </c>
      <c r="K141" s="32">
        <f>VLOOKUP(E141,照明設備稼働時間!$A$4:$E$31,5,FALSE)</f>
        <v>0</v>
      </c>
      <c r="L141" s="32" t="str">
        <f t="shared" si="4"/>
        <v>IL40W1非常照明　電池内蔵</v>
      </c>
      <c r="M141" s="14">
        <f>VLOOKUP(L141,照明器具一覧!$B$4:$F$129,5,FALSE)</f>
        <v>40</v>
      </c>
      <c r="N141" s="14">
        <v>1</v>
      </c>
      <c r="O141" s="142">
        <f t="shared" si="5"/>
        <v>0</v>
      </c>
    </row>
    <row r="142" spans="1:15">
      <c r="A142" s="77" t="s">
        <v>763</v>
      </c>
      <c r="B142" s="78" t="s">
        <v>1499</v>
      </c>
      <c r="C142" s="48" t="s">
        <v>282</v>
      </c>
      <c r="D142" s="29" t="s">
        <v>344</v>
      </c>
      <c r="E142" s="29" t="s">
        <v>1515</v>
      </c>
      <c r="F142" s="49" t="s">
        <v>300</v>
      </c>
      <c r="G142" s="50" t="s">
        <v>21</v>
      </c>
      <c r="H142" s="5">
        <v>1</v>
      </c>
      <c r="I142" s="2" t="s">
        <v>301</v>
      </c>
      <c r="J142" s="24">
        <v>2</v>
      </c>
      <c r="K142" s="32">
        <f>VLOOKUP(E142,照明設備稼働時間!$A$4:$E$31,5,FALSE)</f>
        <v>2299</v>
      </c>
      <c r="L142" s="32" t="str">
        <f t="shared" si="4"/>
        <v>FHF32W1逆富士</v>
      </c>
      <c r="M142" s="14">
        <f>VLOOKUP(L142,照明器具一覧!$B$4:$F$129,5,FALSE)</f>
        <v>36</v>
      </c>
      <c r="N142" s="14">
        <v>1</v>
      </c>
      <c r="O142" s="142">
        <f t="shared" si="5"/>
        <v>165.52799999999999</v>
      </c>
    </row>
    <row r="143" spans="1:15">
      <c r="A143" s="2" t="s">
        <v>764</v>
      </c>
      <c r="B143" s="78" t="s">
        <v>1499</v>
      </c>
      <c r="C143" s="48"/>
      <c r="D143" s="29" t="s">
        <v>344</v>
      </c>
      <c r="E143" s="29" t="s">
        <v>1515</v>
      </c>
      <c r="F143" s="49" t="s">
        <v>300</v>
      </c>
      <c r="G143" s="50" t="s">
        <v>373</v>
      </c>
      <c r="H143" s="5">
        <v>1</v>
      </c>
      <c r="I143" s="2" t="s">
        <v>73</v>
      </c>
      <c r="J143" s="24">
        <v>2</v>
      </c>
      <c r="K143" s="32">
        <f>VLOOKUP(E143,照明設備稼働時間!$A$4:$E$31,5,FALSE)</f>
        <v>2299</v>
      </c>
      <c r="L143" s="32" t="str">
        <f t="shared" si="4"/>
        <v>IL60W1ダウンライト</v>
      </c>
      <c r="M143" s="14">
        <f>VLOOKUP(L143,照明器具一覧!$B$4:$F$129,5,FALSE)</f>
        <v>60</v>
      </c>
      <c r="N143" s="14">
        <v>1</v>
      </c>
      <c r="O143" s="142">
        <f t="shared" si="5"/>
        <v>275.88</v>
      </c>
    </row>
    <row r="144" spans="1:15">
      <c r="A144" s="77" t="s">
        <v>765</v>
      </c>
      <c r="B144" s="78" t="s">
        <v>1499</v>
      </c>
      <c r="C144" s="48"/>
      <c r="D144" s="29" t="s">
        <v>344</v>
      </c>
      <c r="E144" s="29" t="s">
        <v>1515</v>
      </c>
      <c r="F144" s="49" t="s">
        <v>300</v>
      </c>
      <c r="G144" s="50" t="s">
        <v>304</v>
      </c>
      <c r="H144" s="5">
        <v>1</v>
      </c>
      <c r="I144" s="2" t="s">
        <v>316</v>
      </c>
      <c r="J144" s="24">
        <v>2</v>
      </c>
      <c r="K144" s="32">
        <f>VLOOKUP(E144,照明設備稼働時間!$A$4:$E$31,5,FALSE)</f>
        <v>2299</v>
      </c>
      <c r="L144" s="32" t="str">
        <f t="shared" si="4"/>
        <v>LED電球1レセップ</v>
      </c>
      <c r="M144" s="14">
        <f>VLOOKUP(L144,照明器具一覧!$B$4:$F$129,5,FALSE)</f>
        <v>4.5999999999999996</v>
      </c>
      <c r="N144" s="14">
        <v>1</v>
      </c>
      <c r="O144" s="142">
        <f t="shared" si="5"/>
        <v>21.1508</v>
      </c>
    </row>
    <row r="145" spans="1:15">
      <c r="A145" s="2" t="s">
        <v>766</v>
      </c>
      <c r="B145" s="78" t="s">
        <v>1499</v>
      </c>
      <c r="C145" s="48" t="s">
        <v>282</v>
      </c>
      <c r="D145" s="29" t="s">
        <v>344</v>
      </c>
      <c r="E145" s="29" t="s">
        <v>604</v>
      </c>
      <c r="F145" s="49" t="s">
        <v>501</v>
      </c>
      <c r="G145" s="50" t="s">
        <v>21</v>
      </c>
      <c r="H145" s="5">
        <v>1</v>
      </c>
      <c r="I145" s="2" t="s">
        <v>301</v>
      </c>
      <c r="J145" s="24">
        <v>1</v>
      </c>
      <c r="K145" s="32">
        <f>VLOOKUP(E145,照明設備稼働時間!$A$4:$E$31,5,FALSE)</f>
        <v>726</v>
      </c>
      <c r="L145" s="32" t="str">
        <f t="shared" si="4"/>
        <v>FHF32W1逆富士</v>
      </c>
      <c r="M145" s="14">
        <f>VLOOKUP(L145,照明器具一覧!$B$4:$F$129,5,FALSE)</f>
        <v>36</v>
      </c>
      <c r="N145" s="14">
        <v>1</v>
      </c>
      <c r="O145" s="142">
        <f t="shared" si="5"/>
        <v>26.135999999999999</v>
      </c>
    </row>
    <row r="146" spans="1:15">
      <c r="A146" s="77" t="s">
        <v>767</v>
      </c>
      <c r="B146" s="78" t="s">
        <v>1499</v>
      </c>
      <c r="C146" s="48"/>
      <c r="D146" s="29" t="s">
        <v>344</v>
      </c>
      <c r="E146" s="29" t="s">
        <v>604</v>
      </c>
      <c r="F146" s="49" t="s">
        <v>501</v>
      </c>
      <c r="G146" s="50" t="s">
        <v>374</v>
      </c>
      <c r="H146" s="5">
        <v>1</v>
      </c>
      <c r="I146" s="2" t="s">
        <v>375</v>
      </c>
      <c r="J146" s="24">
        <v>1</v>
      </c>
      <c r="K146" s="32">
        <f>VLOOKUP(E146,照明設備稼働時間!$A$4:$E$31,5,FALSE)</f>
        <v>726</v>
      </c>
      <c r="L146" s="32" t="str">
        <f t="shared" si="4"/>
        <v>15W1ミラー灯</v>
      </c>
      <c r="M146" s="14">
        <f>VLOOKUP(L146,照明器具一覧!$B$4:$F$129,5,FALSE)</f>
        <v>23</v>
      </c>
      <c r="N146" s="14">
        <v>1</v>
      </c>
      <c r="O146" s="142">
        <f t="shared" si="5"/>
        <v>16.698</v>
      </c>
    </row>
    <row r="147" spans="1:15">
      <c r="A147" s="2" t="s">
        <v>768</v>
      </c>
      <c r="B147" s="78" t="s">
        <v>1499</v>
      </c>
      <c r="C147" s="48"/>
      <c r="D147" s="29" t="s">
        <v>345</v>
      </c>
      <c r="E147" s="29" t="s">
        <v>604</v>
      </c>
      <c r="F147" s="49" t="s">
        <v>501</v>
      </c>
      <c r="G147" s="50" t="s">
        <v>164</v>
      </c>
      <c r="H147" s="5">
        <v>1</v>
      </c>
      <c r="I147" s="2" t="s">
        <v>542</v>
      </c>
      <c r="J147" s="24">
        <v>1</v>
      </c>
      <c r="K147" s="32">
        <f>VLOOKUP(E147,照明設備稼働時間!$A$4:$E$31,5,FALSE)</f>
        <v>726</v>
      </c>
      <c r="L147" s="32" t="str">
        <f t="shared" si="4"/>
        <v>FL20W1表示灯　「使用中」</v>
      </c>
      <c r="M147" s="14">
        <f>VLOOKUP(L147,照明器具一覧!$B$4:$F$129,5,FALSE)</f>
        <v>22</v>
      </c>
      <c r="N147" s="14">
        <v>1</v>
      </c>
      <c r="O147" s="142">
        <f t="shared" si="5"/>
        <v>15.972</v>
      </c>
    </row>
    <row r="148" spans="1:15">
      <c r="A148" s="77" t="s">
        <v>769</v>
      </c>
      <c r="B148" s="78" t="s">
        <v>1499</v>
      </c>
      <c r="C148" s="48" t="s">
        <v>285</v>
      </c>
      <c r="D148" s="29" t="s">
        <v>344</v>
      </c>
      <c r="E148" s="29" t="s">
        <v>601</v>
      </c>
      <c r="F148" s="49" t="s">
        <v>262</v>
      </c>
      <c r="G148" s="50" t="s">
        <v>21</v>
      </c>
      <c r="H148" s="5">
        <v>1</v>
      </c>
      <c r="I148" s="2" t="s">
        <v>551</v>
      </c>
      <c r="J148" s="24">
        <v>1</v>
      </c>
      <c r="K148" s="32">
        <f>VLOOKUP(E148,照明設備稼働時間!$A$4:$E$31,5,FALSE)</f>
        <v>2299</v>
      </c>
      <c r="L148" s="32" t="str">
        <f t="shared" si="4"/>
        <v>FHF32W1階段灯　非常灯付</v>
      </c>
      <c r="M148" s="14">
        <f>VLOOKUP(L148,照明器具一覧!$B$4:$F$129,5,FALSE)</f>
        <v>36</v>
      </c>
      <c r="N148" s="14">
        <v>1</v>
      </c>
      <c r="O148" s="142">
        <f t="shared" si="5"/>
        <v>82.763999999999996</v>
      </c>
    </row>
    <row r="149" spans="1:15">
      <c r="A149" s="2" t="s">
        <v>770</v>
      </c>
      <c r="B149" s="78" t="s">
        <v>1499</v>
      </c>
      <c r="C149" s="48" t="s">
        <v>286</v>
      </c>
      <c r="D149" s="29" t="s">
        <v>344</v>
      </c>
      <c r="E149" s="29" t="s">
        <v>601</v>
      </c>
      <c r="F149" s="49" t="s">
        <v>262</v>
      </c>
      <c r="G149" s="50" t="s">
        <v>21</v>
      </c>
      <c r="H149" s="5">
        <v>1</v>
      </c>
      <c r="I149" s="2" t="s">
        <v>551</v>
      </c>
      <c r="J149" s="24">
        <v>1</v>
      </c>
      <c r="K149" s="32">
        <f>VLOOKUP(E149,照明設備稼働時間!$A$4:$E$31,5,FALSE)</f>
        <v>2299</v>
      </c>
      <c r="L149" s="32" t="str">
        <f t="shared" si="4"/>
        <v>FHF32W1階段灯　非常灯付</v>
      </c>
      <c r="M149" s="14">
        <f>VLOOKUP(L149,照明器具一覧!$B$4:$F$129,5,FALSE)</f>
        <v>36</v>
      </c>
      <c r="N149" s="14">
        <v>1</v>
      </c>
      <c r="O149" s="142">
        <f t="shared" si="5"/>
        <v>82.763999999999996</v>
      </c>
    </row>
    <row r="150" spans="1:15">
      <c r="A150" s="77" t="s">
        <v>771</v>
      </c>
      <c r="B150" s="78" t="s">
        <v>1499</v>
      </c>
      <c r="C150" s="48" t="s">
        <v>284</v>
      </c>
      <c r="D150" s="29" t="s">
        <v>344</v>
      </c>
      <c r="E150" s="29" t="s">
        <v>1507</v>
      </c>
      <c r="F150" s="49" t="s">
        <v>174</v>
      </c>
      <c r="G150" s="50" t="s">
        <v>19</v>
      </c>
      <c r="H150" s="5">
        <v>1</v>
      </c>
      <c r="I150" s="2" t="s">
        <v>303</v>
      </c>
      <c r="J150" s="24">
        <v>1</v>
      </c>
      <c r="K150" s="32">
        <f>VLOOKUP(E150,照明設備稼働時間!$A$4:$E$31,5,FALSE)</f>
        <v>0</v>
      </c>
      <c r="L150" s="32" t="str">
        <f t="shared" si="4"/>
        <v>FHF16W1片反射笠付（高出力）</v>
      </c>
      <c r="M150" s="14">
        <f>VLOOKUP(L150,照明器具一覧!$B$4:$F$129,5,FALSE)</f>
        <v>26</v>
      </c>
      <c r="N150" s="14">
        <v>1</v>
      </c>
      <c r="O150" s="142">
        <f t="shared" si="5"/>
        <v>0</v>
      </c>
    </row>
    <row r="151" spans="1:15">
      <c r="A151" s="2" t="s">
        <v>772</v>
      </c>
      <c r="B151" s="78" t="s">
        <v>1499</v>
      </c>
      <c r="C151" s="48" t="s">
        <v>282</v>
      </c>
      <c r="D151" s="29" t="s">
        <v>344</v>
      </c>
      <c r="E151" s="29" t="s">
        <v>604</v>
      </c>
      <c r="F151" s="49" t="s">
        <v>502</v>
      </c>
      <c r="G151" s="50" t="s">
        <v>21</v>
      </c>
      <c r="H151" s="5">
        <v>1</v>
      </c>
      <c r="I151" s="2" t="s">
        <v>301</v>
      </c>
      <c r="J151" s="24">
        <v>1</v>
      </c>
      <c r="K151" s="32">
        <f>VLOOKUP(E151,照明設備稼働時間!$A$4:$E$31,5,FALSE)</f>
        <v>726</v>
      </c>
      <c r="L151" s="32" t="str">
        <f t="shared" si="4"/>
        <v>FHF32W1逆富士</v>
      </c>
      <c r="M151" s="14">
        <f>VLOOKUP(L151,照明器具一覧!$B$4:$F$129,5,FALSE)</f>
        <v>36</v>
      </c>
      <c r="N151" s="14">
        <v>1</v>
      </c>
      <c r="O151" s="142">
        <f t="shared" si="5"/>
        <v>26.135999999999999</v>
      </c>
    </row>
    <row r="152" spans="1:15">
      <c r="A152" s="77" t="s">
        <v>773</v>
      </c>
      <c r="B152" s="78" t="s">
        <v>1499</v>
      </c>
      <c r="C152" s="48"/>
      <c r="D152" s="29" t="s">
        <v>345</v>
      </c>
      <c r="E152" s="29" t="s">
        <v>604</v>
      </c>
      <c r="F152" s="49" t="s">
        <v>502</v>
      </c>
      <c r="G152" s="50" t="s">
        <v>164</v>
      </c>
      <c r="H152" s="5">
        <v>1</v>
      </c>
      <c r="I152" s="2" t="s">
        <v>542</v>
      </c>
      <c r="J152" s="24">
        <v>1</v>
      </c>
      <c r="K152" s="32">
        <f>VLOOKUP(E152,照明設備稼働時間!$A$4:$E$31,5,FALSE)</f>
        <v>726</v>
      </c>
      <c r="L152" s="32" t="str">
        <f t="shared" si="4"/>
        <v>FL20W1表示灯　「使用中」</v>
      </c>
      <c r="M152" s="14">
        <f>VLOOKUP(L152,照明器具一覧!$B$4:$F$129,5,FALSE)</f>
        <v>22</v>
      </c>
      <c r="N152" s="14">
        <v>1</v>
      </c>
      <c r="O152" s="142">
        <f t="shared" si="5"/>
        <v>15.972</v>
      </c>
    </row>
    <row r="153" spans="1:15">
      <c r="A153" s="2" t="s">
        <v>774</v>
      </c>
      <c r="B153" s="78" t="s">
        <v>1499</v>
      </c>
      <c r="C153" s="48" t="s">
        <v>283</v>
      </c>
      <c r="D153" s="29" t="s">
        <v>344</v>
      </c>
      <c r="E153" s="29" t="s">
        <v>601</v>
      </c>
      <c r="F153" s="49" t="s">
        <v>261</v>
      </c>
      <c r="G153" s="50" t="s">
        <v>21</v>
      </c>
      <c r="H153" s="5">
        <v>1</v>
      </c>
      <c r="I153" s="2" t="s">
        <v>302</v>
      </c>
      <c r="J153" s="24">
        <v>3</v>
      </c>
      <c r="K153" s="32">
        <f>VLOOKUP(E153,照明設備稼働時間!$A$4:$E$31,5,FALSE)</f>
        <v>2299</v>
      </c>
      <c r="L153" s="32" t="str">
        <f t="shared" si="4"/>
        <v>FHF32W1埋込W190</v>
      </c>
      <c r="M153" s="14">
        <f>VLOOKUP(L153,照明器具一覧!$B$4:$F$129,5,FALSE)</f>
        <v>36</v>
      </c>
      <c r="N153" s="14">
        <v>1</v>
      </c>
      <c r="O153" s="142">
        <f t="shared" si="5"/>
        <v>248.292</v>
      </c>
    </row>
    <row r="154" spans="1:15">
      <c r="A154" s="77" t="s">
        <v>775</v>
      </c>
      <c r="B154" s="78" t="s">
        <v>1499</v>
      </c>
      <c r="C154" s="48" t="s">
        <v>282</v>
      </c>
      <c r="D154" s="29" t="s">
        <v>344</v>
      </c>
      <c r="E154" s="29" t="s">
        <v>603</v>
      </c>
      <c r="F154" s="49" t="s">
        <v>299</v>
      </c>
      <c r="G154" s="50" t="s">
        <v>21</v>
      </c>
      <c r="H154" s="5">
        <v>1</v>
      </c>
      <c r="I154" s="2" t="s">
        <v>301</v>
      </c>
      <c r="J154" s="24">
        <v>1</v>
      </c>
      <c r="K154" s="32">
        <f>VLOOKUP(E154,照明設備稼働時間!$A$4:$E$31,5,FALSE)</f>
        <v>968</v>
      </c>
      <c r="L154" s="32" t="str">
        <f t="shared" si="4"/>
        <v>FHF32W1逆富士</v>
      </c>
      <c r="M154" s="14">
        <f>VLOOKUP(L154,照明器具一覧!$B$4:$F$129,5,FALSE)</f>
        <v>36</v>
      </c>
      <c r="N154" s="14">
        <v>1</v>
      </c>
      <c r="O154" s="142">
        <f t="shared" si="5"/>
        <v>34.847999999999999</v>
      </c>
    </row>
    <row r="155" spans="1:15">
      <c r="A155" s="2" t="s">
        <v>776</v>
      </c>
      <c r="B155" s="78" t="s">
        <v>1499</v>
      </c>
      <c r="C155" s="48"/>
      <c r="D155" s="29" t="s">
        <v>344</v>
      </c>
      <c r="E155" s="29" t="s">
        <v>603</v>
      </c>
      <c r="F155" s="49" t="s">
        <v>176</v>
      </c>
      <c r="G155" s="50" t="s">
        <v>31</v>
      </c>
      <c r="H155" s="5">
        <v>1</v>
      </c>
      <c r="I155" s="2" t="s">
        <v>316</v>
      </c>
      <c r="J155" s="24">
        <v>3</v>
      </c>
      <c r="K155" s="32">
        <f>VLOOKUP(E155,照明設備稼働時間!$A$4:$E$31,5,FALSE)</f>
        <v>968</v>
      </c>
      <c r="L155" s="32" t="str">
        <f t="shared" si="4"/>
        <v>LED電球1レセップ</v>
      </c>
      <c r="M155" s="14">
        <f>VLOOKUP(L155,照明器具一覧!$B$4:$F$129,5,FALSE)</f>
        <v>4.5999999999999996</v>
      </c>
      <c r="N155" s="14">
        <v>1</v>
      </c>
      <c r="O155" s="142">
        <f t="shared" si="5"/>
        <v>13.3584</v>
      </c>
    </row>
    <row r="156" spans="1:15">
      <c r="A156" s="77" t="s">
        <v>777</v>
      </c>
      <c r="B156" s="78" t="s">
        <v>1499</v>
      </c>
      <c r="C156" s="48" t="s">
        <v>369</v>
      </c>
      <c r="D156" s="29" t="s">
        <v>344</v>
      </c>
      <c r="E156" s="29" t="s">
        <v>601</v>
      </c>
      <c r="F156" s="49" t="s">
        <v>351</v>
      </c>
      <c r="G156" s="50" t="s">
        <v>21</v>
      </c>
      <c r="H156" s="5">
        <v>1</v>
      </c>
      <c r="I156" s="2" t="s">
        <v>89</v>
      </c>
      <c r="J156" s="24">
        <v>14</v>
      </c>
      <c r="K156" s="32">
        <f>VLOOKUP(E156,照明設備稼働時間!$A$4:$E$31,5,FALSE)</f>
        <v>2299</v>
      </c>
      <c r="L156" s="32" t="str">
        <f t="shared" si="4"/>
        <v>FHF32W1トラフ</v>
      </c>
      <c r="M156" s="14">
        <f>VLOOKUP(L156,照明器具一覧!$B$4:$F$129,5,FALSE)</f>
        <v>36</v>
      </c>
      <c r="N156" s="14">
        <v>1</v>
      </c>
      <c r="O156" s="142">
        <f t="shared" si="5"/>
        <v>1158.6959999999999</v>
      </c>
    </row>
    <row r="157" spans="1:15">
      <c r="A157" s="2" t="s">
        <v>778</v>
      </c>
      <c r="B157" s="78" t="s">
        <v>1499</v>
      </c>
      <c r="C157" s="48"/>
      <c r="D157" s="29" t="s">
        <v>345</v>
      </c>
      <c r="E157" s="29" t="s">
        <v>601</v>
      </c>
      <c r="F157" s="49" t="s">
        <v>538</v>
      </c>
      <c r="G157" s="50" t="s">
        <v>125</v>
      </c>
      <c r="H157" s="5">
        <v>1</v>
      </c>
      <c r="I157" s="2" t="s">
        <v>379</v>
      </c>
      <c r="J157" s="24">
        <v>2</v>
      </c>
      <c r="K157" s="32">
        <f>VLOOKUP(E157,照明設備稼働時間!$A$4:$E$31,5,FALSE)</f>
        <v>2299</v>
      </c>
      <c r="L157" s="32" t="str">
        <f t="shared" si="4"/>
        <v>MF100W1スクエア</v>
      </c>
      <c r="M157" s="14">
        <f>VLOOKUP(L157,照明器具一覧!$B$4:$F$129,5,FALSE)</f>
        <v>100</v>
      </c>
      <c r="N157" s="14">
        <v>1</v>
      </c>
      <c r="O157" s="142">
        <f t="shared" si="5"/>
        <v>459.8</v>
      </c>
    </row>
    <row r="158" spans="1:15">
      <c r="A158" s="77" t="s">
        <v>779</v>
      </c>
      <c r="B158" s="78" t="s">
        <v>1499</v>
      </c>
      <c r="C158" s="48" t="s">
        <v>370</v>
      </c>
      <c r="D158" s="29" t="s">
        <v>344</v>
      </c>
      <c r="E158" s="29" t="s">
        <v>601</v>
      </c>
      <c r="F158" s="49" t="s">
        <v>352</v>
      </c>
      <c r="G158" s="50" t="s">
        <v>21</v>
      </c>
      <c r="H158" s="5">
        <v>1</v>
      </c>
      <c r="I158" s="2" t="s">
        <v>89</v>
      </c>
      <c r="J158" s="24">
        <v>16</v>
      </c>
      <c r="K158" s="32">
        <f>VLOOKUP(E158,照明設備稼働時間!$A$4:$E$31,5,FALSE)</f>
        <v>2299</v>
      </c>
      <c r="L158" s="32" t="str">
        <f t="shared" si="4"/>
        <v>FHF32W1トラフ</v>
      </c>
      <c r="M158" s="14">
        <f>VLOOKUP(L158,照明器具一覧!$B$4:$F$129,5,FALSE)</f>
        <v>36</v>
      </c>
      <c r="N158" s="14">
        <v>1</v>
      </c>
      <c r="O158" s="142">
        <f t="shared" si="5"/>
        <v>1324.2239999999999</v>
      </c>
    </row>
    <row r="159" spans="1:15">
      <c r="A159" s="2" t="s">
        <v>780</v>
      </c>
      <c r="B159" s="78" t="s">
        <v>1499</v>
      </c>
      <c r="C159" s="48"/>
      <c r="D159" s="29" t="s">
        <v>345</v>
      </c>
      <c r="E159" s="29" t="s">
        <v>601</v>
      </c>
      <c r="F159" s="49" t="s">
        <v>536</v>
      </c>
      <c r="G159" s="50" t="s">
        <v>125</v>
      </c>
      <c r="H159" s="5">
        <v>1</v>
      </c>
      <c r="I159" s="2" t="s">
        <v>379</v>
      </c>
      <c r="J159" s="24">
        <v>2</v>
      </c>
      <c r="K159" s="32">
        <f>VLOOKUP(E159,照明設備稼働時間!$A$4:$E$31,5,FALSE)</f>
        <v>2299</v>
      </c>
      <c r="L159" s="32" t="str">
        <f t="shared" si="4"/>
        <v>MF100W1スクエア</v>
      </c>
      <c r="M159" s="14">
        <f>VLOOKUP(L159,照明器具一覧!$B$4:$F$129,5,FALSE)</f>
        <v>100</v>
      </c>
      <c r="N159" s="14">
        <v>1</v>
      </c>
      <c r="O159" s="142">
        <f t="shared" si="5"/>
        <v>459.8</v>
      </c>
    </row>
    <row r="160" spans="1:15">
      <c r="A160" s="77" t="s">
        <v>781</v>
      </c>
      <c r="B160" s="78" t="s">
        <v>1499</v>
      </c>
      <c r="C160" s="48"/>
      <c r="D160" s="29" t="s">
        <v>345</v>
      </c>
      <c r="E160" s="29" t="s">
        <v>601</v>
      </c>
      <c r="F160" s="49" t="s">
        <v>536</v>
      </c>
      <c r="G160" s="50" t="s">
        <v>537</v>
      </c>
      <c r="H160" s="5">
        <v>1</v>
      </c>
      <c r="I160" s="2" t="s">
        <v>89</v>
      </c>
      <c r="J160" s="24">
        <v>1</v>
      </c>
      <c r="K160" s="32">
        <f>VLOOKUP(E160,照明設備稼働時間!$A$4:$E$31,5,FALSE)</f>
        <v>2299</v>
      </c>
      <c r="L160" s="32" t="str">
        <f t="shared" si="4"/>
        <v>FL110R1トラフ</v>
      </c>
      <c r="M160" s="14">
        <f>VLOOKUP(L160,照明器具一覧!$B$4:$F$129,5,FALSE)</f>
        <v>121</v>
      </c>
      <c r="N160" s="14">
        <v>1</v>
      </c>
      <c r="O160" s="142">
        <f t="shared" si="5"/>
        <v>278.17899999999997</v>
      </c>
    </row>
    <row r="161" spans="1:15">
      <c r="A161" s="2" t="s">
        <v>782</v>
      </c>
      <c r="B161" s="78" t="s">
        <v>1499</v>
      </c>
      <c r="C161" s="48"/>
      <c r="D161" s="29" t="s">
        <v>345</v>
      </c>
      <c r="E161" s="29" t="s">
        <v>381</v>
      </c>
      <c r="F161" s="49" t="s">
        <v>539</v>
      </c>
      <c r="G161" s="50" t="s">
        <v>537</v>
      </c>
      <c r="H161" s="5">
        <v>1</v>
      </c>
      <c r="I161" s="2" t="s">
        <v>89</v>
      </c>
      <c r="J161" s="24">
        <v>1</v>
      </c>
      <c r="K161" s="32">
        <f>VLOOKUP(E161,照明設備稼働時間!$A$4:$E$31,5,FALSE)</f>
        <v>2299</v>
      </c>
      <c r="L161" s="32" t="str">
        <f t="shared" si="4"/>
        <v>FL110R1トラフ</v>
      </c>
      <c r="M161" s="14">
        <f>VLOOKUP(L161,照明器具一覧!$B$4:$F$129,5,FALSE)</f>
        <v>121</v>
      </c>
      <c r="N161" s="14">
        <v>1</v>
      </c>
      <c r="O161" s="142">
        <f t="shared" si="5"/>
        <v>278.17899999999997</v>
      </c>
    </row>
    <row r="162" spans="1:15">
      <c r="A162" s="77" t="s">
        <v>783</v>
      </c>
      <c r="B162" s="78" t="s">
        <v>1499</v>
      </c>
      <c r="C162" s="48"/>
      <c r="D162" s="29" t="s">
        <v>345</v>
      </c>
      <c r="E162" s="29" t="s">
        <v>381</v>
      </c>
      <c r="F162" s="49" t="s">
        <v>539</v>
      </c>
      <c r="G162" s="50" t="s">
        <v>547</v>
      </c>
      <c r="H162" s="5">
        <v>1</v>
      </c>
      <c r="I162" s="2" t="s">
        <v>89</v>
      </c>
      <c r="J162" s="24">
        <v>1</v>
      </c>
      <c r="K162" s="32">
        <f>VLOOKUP(E162,照明設備稼働時間!$A$4:$E$31,5,FALSE)</f>
        <v>2299</v>
      </c>
      <c r="L162" s="32" t="str">
        <f t="shared" si="4"/>
        <v>FL40W1トラフ</v>
      </c>
      <c r="M162" s="14">
        <f>VLOOKUP(L162,照明器具一覧!$B$4:$F$129,5,FALSE)</f>
        <v>44</v>
      </c>
      <c r="N162" s="14">
        <v>1</v>
      </c>
      <c r="O162" s="142">
        <f t="shared" si="5"/>
        <v>101.15600000000001</v>
      </c>
    </row>
    <row r="163" spans="1:15">
      <c r="A163" s="2" t="s">
        <v>784</v>
      </c>
      <c r="B163" s="78" t="s">
        <v>1499</v>
      </c>
      <c r="C163" s="48"/>
      <c r="D163" s="29" t="s">
        <v>345</v>
      </c>
      <c r="E163" s="29" t="s">
        <v>381</v>
      </c>
      <c r="F163" s="49" t="s">
        <v>540</v>
      </c>
      <c r="G163" s="50" t="s">
        <v>125</v>
      </c>
      <c r="H163" s="5">
        <v>1</v>
      </c>
      <c r="I163" s="2" t="s">
        <v>379</v>
      </c>
      <c r="J163" s="24">
        <v>2</v>
      </c>
      <c r="K163" s="32">
        <f>VLOOKUP(E163,照明設備稼働時間!$A$4:$E$31,5,FALSE)</f>
        <v>2299</v>
      </c>
      <c r="L163" s="32" t="str">
        <f t="shared" si="4"/>
        <v>MF100W1スクエア</v>
      </c>
      <c r="M163" s="14">
        <f>VLOOKUP(L163,照明器具一覧!$B$4:$F$129,5,FALSE)</f>
        <v>100</v>
      </c>
      <c r="N163" s="14">
        <v>1</v>
      </c>
      <c r="O163" s="142">
        <f t="shared" si="5"/>
        <v>459.8</v>
      </c>
    </row>
    <row r="164" spans="1:15">
      <c r="A164" s="77" t="s">
        <v>785</v>
      </c>
      <c r="B164" s="78" t="s">
        <v>1498</v>
      </c>
      <c r="C164" s="48"/>
      <c r="D164" s="29" t="s">
        <v>345</v>
      </c>
      <c r="E164" s="29" t="s">
        <v>381</v>
      </c>
      <c r="F164" s="49" t="s">
        <v>540</v>
      </c>
      <c r="G164" s="50" t="s">
        <v>75</v>
      </c>
      <c r="H164" s="5">
        <v>1</v>
      </c>
      <c r="I164" s="2" t="s">
        <v>379</v>
      </c>
      <c r="J164" s="24">
        <v>3</v>
      </c>
      <c r="K164" s="32">
        <f>VLOOKUP(E164,照明設備稼働時間!$A$4:$E$31,5,FALSE)</f>
        <v>2299</v>
      </c>
      <c r="L164" s="32" t="str">
        <f t="shared" si="4"/>
        <v>LED1スクエア</v>
      </c>
      <c r="M164" s="14">
        <f>VLOOKUP(L164,照明器具一覧!$B$4:$F$129,5,FALSE)</f>
        <v>40</v>
      </c>
      <c r="N164" s="14">
        <v>1</v>
      </c>
      <c r="O164" s="142">
        <f t="shared" si="5"/>
        <v>275.88</v>
      </c>
    </row>
    <row r="165" spans="1:15">
      <c r="A165" s="2" t="s">
        <v>786</v>
      </c>
      <c r="B165" s="78" t="s">
        <v>1499</v>
      </c>
      <c r="C165" s="48" t="s">
        <v>289</v>
      </c>
      <c r="D165" s="29" t="s">
        <v>344</v>
      </c>
      <c r="E165" s="29" t="s">
        <v>381</v>
      </c>
      <c r="F165" s="49" t="s">
        <v>265</v>
      </c>
      <c r="G165" s="50" t="s">
        <v>21</v>
      </c>
      <c r="H165" s="5">
        <v>1</v>
      </c>
      <c r="I165" s="2" t="s">
        <v>89</v>
      </c>
      <c r="J165" s="24">
        <v>4</v>
      </c>
      <c r="K165" s="32">
        <f>VLOOKUP(E165,照明設備稼働時間!$A$4:$E$31,5,FALSE)</f>
        <v>2299</v>
      </c>
      <c r="L165" s="32" t="str">
        <f t="shared" si="4"/>
        <v>FHF32W1トラフ</v>
      </c>
      <c r="M165" s="14">
        <f>VLOOKUP(L165,照明器具一覧!$B$4:$F$129,5,FALSE)</f>
        <v>36</v>
      </c>
      <c r="N165" s="14">
        <v>1</v>
      </c>
      <c r="O165" s="142">
        <f t="shared" si="5"/>
        <v>331.05599999999998</v>
      </c>
    </row>
    <row r="166" spans="1:15">
      <c r="A166" s="77" t="s">
        <v>787</v>
      </c>
      <c r="B166" s="78" t="s">
        <v>1499</v>
      </c>
      <c r="C166" s="48"/>
      <c r="D166" s="29" t="s">
        <v>345</v>
      </c>
      <c r="E166" s="29" t="s">
        <v>381</v>
      </c>
      <c r="F166" s="49" t="s">
        <v>35</v>
      </c>
      <c r="G166" s="50" t="s">
        <v>373</v>
      </c>
      <c r="H166" s="5">
        <v>1</v>
      </c>
      <c r="I166" s="2" t="s">
        <v>73</v>
      </c>
      <c r="J166" s="24">
        <v>5</v>
      </c>
      <c r="K166" s="32">
        <f>VLOOKUP(E166,照明設備稼働時間!$A$4:$E$31,5,FALSE)</f>
        <v>2299</v>
      </c>
      <c r="L166" s="32" t="str">
        <f t="shared" si="4"/>
        <v>IL60W1ダウンライト</v>
      </c>
      <c r="M166" s="14">
        <f>VLOOKUP(L166,照明器具一覧!$B$4:$F$129,5,FALSE)</f>
        <v>60</v>
      </c>
      <c r="N166" s="14">
        <v>1</v>
      </c>
      <c r="O166" s="142">
        <f t="shared" si="5"/>
        <v>689.7</v>
      </c>
    </row>
    <row r="167" spans="1:15">
      <c r="A167" s="2" t="s">
        <v>788</v>
      </c>
      <c r="B167" s="78" t="s">
        <v>1499</v>
      </c>
      <c r="C167" s="48"/>
      <c r="D167" s="29" t="s">
        <v>345</v>
      </c>
      <c r="E167" s="29" t="s">
        <v>381</v>
      </c>
      <c r="F167" s="49" t="s">
        <v>580</v>
      </c>
      <c r="G167" s="50" t="s">
        <v>547</v>
      </c>
      <c r="H167" s="5">
        <v>1</v>
      </c>
      <c r="I167" s="2" t="s">
        <v>89</v>
      </c>
      <c r="J167" s="24">
        <v>12</v>
      </c>
      <c r="K167" s="32">
        <f>VLOOKUP(E167,照明設備稼働時間!$A$4:$E$31,5,FALSE)</f>
        <v>2299</v>
      </c>
      <c r="L167" s="32" t="str">
        <f t="shared" si="4"/>
        <v>FL40W1トラフ</v>
      </c>
      <c r="M167" s="14">
        <f>VLOOKUP(L167,照明器具一覧!$B$4:$F$129,5,FALSE)</f>
        <v>44</v>
      </c>
      <c r="N167" s="14">
        <v>1</v>
      </c>
      <c r="O167" s="142">
        <f t="shared" si="5"/>
        <v>1213.8720000000001</v>
      </c>
    </row>
    <row r="168" spans="1:15">
      <c r="A168" s="77" t="s">
        <v>789</v>
      </c>
      <c r="B168" s="78" t="s">
        <v>1499</v>
      </c>
      <c r="C168" s="48"/>
      <c r="D168" s="29" t="s">
        <v>345</v>
      </c>
      <c r="E168" s="29" t="s">
        <v>381</v>
      </c>
      <c r="F168" s="49" t="s">
        <v>549</v>
      </c>
      <c r="G168" s="50" t="s">
        <v>547</v>
      </c>
      <c r="H168" s="5">
        <v>1</v>
      </c>
      <c r="I168" s="2" t="s">
        <v>89</v>
      </c>
      <c r="J168" s="24">
        <v>6</v>
      </c>
      <c r="K168" s="32">
        <f>VLOOKUP(E168,照明設備稼働時間!$A$4:$E$31,5,FALSE)</f>
        <v>2299</v>
      </c>
      <c r="L168" s="32" t="str">
        <f t="shared" si="4"/>
        <v>FL40W1トラフ</v>
      </c>
      <c r="M168" s="14">
        <f>VLOOKUP(L168,照明器具一覧!$B$4:$F$129,5,FALSE)</f>
        <v>44</v>
      </c>
      <c r="N168" s="14">
        <v>1</v>
      </c>
      <c r="O168" s="142">
        <f t="shared" si="5"/>
        <v>606.93600000000004</v>
      </c>
    </row>
    <row r="169" spans="1:15">
      <c r="A169" s="2" t="s">
        <v>790</v>
      </c>
      <c r="B169" s="78" t="s">
        <v>1499</v>
      </c>
      <c r="C169" s="48"/>
      <c r="D169" s="29" t="s">
        <v>345</v>
      </c>
      <c r="E169" s="29" t="s">
        <v>381</v>
      </c>
      <c r="F169" s="49" t="s">
        <v>548</v>
      </c>
      <c r="G169" s="50" t="s">
        <v>125</v>
      </c>
      <c r="H169" s="5">
        <v>1</v>
      </c>
      <c r="I169" s="2" t="s">
        <v>340</v>
      </c>
      <c r="J169" s="24">
        <v>1</v>
      </c>
      <c r="K169" s="32">
        <f>VLOOKUP(E169,照明設備稼働時間!$A$4:$E$31,5,FALSE)</f>
        <v>2299</v>
      </c>
      <c r="L169" s="32" t="str">
        <f t="shared" si="4"/>
        <v>MF100W1ダウンライト　□275</v>
      </c>
      <c r="M169" s="14">
        <f>VLOOKUP(L169,照明器具一覧!$B$4:$F$129,5,FALSE)</f>
        <v>100</v>
      </c>
      <c r="N169" s="14">
        <v>1</v>
      </c>
      <c r="O169" s="142">
        <f t="shared" si="5"/>
        <v>229.9</v>
      </c>
    </row>
    <row r="170" spans="1:15">
      <c r="A170" s="77" t="s">
        <v>791</v>
      </c>
      <c r="B170" s="78" t="s">
        <v>1499</v>
      </c>
      <c r="C170" s="48" t="s">
        <v>289</v>
      </c>
      <c r="D170" s="29" t="s">
        <v>344</v>
      </c>
      <c r="E170" s="29" t="s">
        <v>601</v>
      </c>
      <c r="F170" s="49" t="s">
        <v>266</v>
      </c>
      <c r="G170" s="50" t="s">
        <v>21</v>
      </c>
      <c r="H170" s="5">
        <v>1</v>
      </c>
      <c r="I170" s="2" t="s">
        <v>89</v>
      </c>
      <c r="J170" s="24">
        <v>65</v>
      </c>
      <c r="K170" s="32">
        <f>VLOOKUP(E170,照明設備稼働時間!$A$4:$E$31,5,FALSE)</f>
        <v>2299</v>
      </c>
      <c r="L170" s="32" t="str">
        <f t="shared" si="4"/>
        <v>FHF32W1トラフ</v>
      </c>
      <c r="M170" s="14">
        <f>VLOOKUP(L170,照明器具一覧!$B$4:$F$129,5,FALSE)</f>
        <v>36</v>
      </c>
      <c r="N170" s="14">
        <v>1</v>
      </c>
      <c r="O170" s="142">
        <f t="shared" si="5"/>
        <v>5379.66</v>
      </c>
    </row>
    <row r="171" spans="1:15">
      <c r="A171" s="2" t="s">
        <v>792</v>
      </c>
      <c r="B171" s="78" t="s">
        <v>1499</v>
      </c>
      <c r="C171" s="48" t="s">
        <v>295</v>
      </c>
      <c r="D171" s="29" t="s">
        <v>344</v>
      </c>
      <c r="E171" s="29" t="s">
        <v>601</v>
      </c>
      <c r="F171" s="49" t="s">
        <v>266</v>
      </c>
      <c r="G171" s="50" t="s">
        <v>21</v>
      </c>
      <c r="H171" s="5">
        <v>2</v>
      </c>
      <c r="I171" s="2" t="s">
        <v>308</v>
      </c>
      <c r="J171" s="24">
        <v>8</v>
      </c>
      <c r="K171" s="32">
        <f>VLOOKUP(E171,照明設備稼働時間!$A$4:$E$31,5,FALSE)</f>
        <v>2299</v>
      </c>
      <c r="L171" s="32" t="str">
        <f t="shared" si="4"/>
        <v>FHF32W2埋込W300</v>
      </c>
      <c r="M171" s="14">
        <f>VLOOKUP(L171,照明器具一覧!$B$4:$F$129,5,FALSE)</f>
        <v>71</v>
      </c>
      <c r="N171" s="14">
        <v>1</v>
      </c>
      <c r="O171" s="142">
        <f t="shared" si="5"/>
        <v>1305.8320000000001</v>
      </c>
    </row>
    <row r="172" spans="1:15">
      <c r="A172" s="77" t="s">
        <v>793</v>
      </c>
      <c r="B172" s="78" t="s">
        <v>1499</v>
      </c>
      <c r="C172" s="48"/>
      <c r="D172" s="29" t="s">
        <v>345</v>
      </c>
      <c r="E172" s="29" t="s">
        <v>601</v>
      </c>
      <c r="F172" s="49" t="s">
        <v>315</v>
      </c>
      <c r="G172" s="50" t="s">
        <v>75</v>
      </c>
      <c r="H172" s="5">
        <v>1</v>
      </c>
      <c r="I172" s="2" t="s">
        <v>76</v>
      </c>
      <c r="J172" s="24">
        <v>2</v>
      </c>
      <c r="K172" s="32">
        <f>VLOOKUP(E172,照明設備稼働時間!$A$4:$E$31,5,FALSE)</f>
        <v>2299</v>
      </c>
      <c r="L172" s="32" t="str">
        <f t="shared" si="4"/>
        <v>LED1ユニバーサルダウンライト</v>
      </c>
      <c r="M172" s="14">
        <f>VLOOKUP(L172,照明器具一覧!$B$4:$F$129,5,FALSE)</f>
        <v>10</v>
      </c>
      <c r="N172" s="14">
        <v>1</v>
      </c>
      <c r="O172" s="142">
        <f t="shared" si="5"/>
        <v>45.98</v>
      </c>
    </row>
    <row r="173" spans="1:15">
      <c r="A173" s="2" t="s">
        <v>794</v>
      </c>
      <c r="B173" s="78" t="s">
        <v>1498</v>
      </c>
      <c r="C173" s="48"/>
      <c r="D173" s="29" t="s">
        <v>345</v>
      </c>
      <c r="E173" s="29" t="s">
        <v>601</v>
      </c>
      <c r="F173" s="49" t="s">
        <v>11</v>
      </c>
      <c r="G173" s="50" t="s">
        <v>75</v>
      </c>
      <c r="H173" s="5">
        <v>1</v>
      </c>
      <c r="I173" s="2" t="s">
        <v>74</v>
      </c>
      <c r="J173" s="24">
        <v>4</v>
      </c>
      <c r="K173" s="32">
        <f>VLOOKUP(E173,照明設備稼働時間!$A$4:$E$31,5,FALSE)</f>
        <v>2299</v>
      </c>
      <c r="L173" s="32" t="str">
        <f t="shared" si="4"/>
        <v>LED1黒板灯</v>
      </c>
      <c r="M173" s="14">
        <f>VLOOKUP(L173,照明器具一覧!$B$4:$F$129,5,FALSE)</f>
        <v>22</v>
      </c>
      <c r="N173" s="14">
        <v>1</v>
      </c>
      <c r="O173" s="142">
        <f t="shared" si="5"/>
        <v>202.31200000000001</v>
      </c>
    </row>
    <row r="174" spans="1:15">
      <c r="A174" s="77" t="s">
        <v>795</v>
      </c>
      <c r="B174" s="78" t="s">
        <v>1499</v>
      </c>
      <c r="C174" s="48" t="s">
        <v>283</v>
      </c>
      <c r="D174" s="29" t="s">
        <v>344</v>
      </c>
      <c r="E174" s="29" t="s">
        <v>1508</v>
      </c>
      <c r="F174" s="49" t="s">
        <v>57</v>
      </c>
      <c r="G174" s="50" t="s">
        <v>21</v>
      </c>
      <c r="H174" s="5">
        <v>1</v>
      </c>
      <c r="I174" s="2" t="s">
        <v>302</v>
      </c>
      <c r="J174" s="24">
        <v>2</v>
      </c>
      <c r="K174" s="32">
        <f>VLOOKUP(E174,照明設備稼働時間!$A$4:$E$31,5,FALSE)</f>
        <v>8760</v>
      </c>
      <c r="L174" s="32" t="str">
        <f t="shared" si="4"/>
        <v>FHF32W1埋込W190</v>
      </c>
      <c r="M174" s="14">
        <f>VLOOKUP(L174,照明器具一覧!$B$4:$F$129,5,FALSE)</f>
        <v>36</v>
      </c>
      <c r="N174" s="14">
        <v>1</v>
      </c>
      <c r="O174" s="142">
        <f t="shared" si="5"/>
        <v>630.72</v>
      </c>
    </row>
    <row r="175" spans="1:15">
      <c r="A175" s="2" t="s">
        <v>796</v>
      </c>
      <c r="B175" s="78" t="s">
        <v>1499</v>
      </c>
      <c r="C175" s="48"/>
      <c r="D175" s="29" t="s">
        <v>345</v>
      </c>
      <c r="E175" s="29" t="s">
        <v>1508</v>
      </c>
      <c r="F175" s="49" t="s">
        <v>57</v>
      </c>
      <c r="G175" s="50" t="s">
        <v>373</v>
      </c>
      <c r="H175" s="5">
        <v>1</v>
      </c>
      <c r="I175" s="2" t="s">
        <v>73</v>
      </c>
      <c r="J175" s="24">
        <v>1</v>
      </c>
      <c r="K175" s="32">
        <f>VLOOKUP(E175,照明設備稼働時間!$A$4:$E$31,5,FALSE)</f>
        <v>8760</v>
      </c>
      <c r="L175" s="32" t="str">
        <f t="shared" si="4"/>
        <v>IL60W1ダウンライト</v>
      </c>
      <c r="M175" s="14">
        <f>VLOOKUP(L175,照明器具一覧!$B$4:$F$129,5,FALSE)</f>
        <v>60</v>
      </c>
      <c r="N175" s="14">
        <v>1</v>
      </c>
      <c r="O175" s="142">
        <f t="shared" si="5"/>
        <v>525.6</v>
      </c>
    </row>
    <row r="176" spans="1:15">
      <c r="A176" s="77" t="s">
        <v>797</v>
      </c>
      <c r="B176" s="78" t="s">
        <v>1499</v>
      </c>
      <c r="C176" s="48"/>
      <c r="D176" s="29" t="s">
        <v>344</v>
      </c>
      <c r="E176" s="29" t="s">
        <v>601</v>
      </c>
      <c r="F176" s="49" t="s">
        <v>541</v>
      </c>
      <c r="G176" s="50" t="s">
        <v>125</v>
      </c>
      <c r="H176" s="5">
        <v>1</v>
      </c>
      <c r="I176" s="2" t="s">
        <v>340</v>
      </c>
      <c r="J176" s="24">
        <v>4</v>
      </c>
      <c r="K176" s="32">
        <f>VLOOKUP(E176,照明設備稼働時間!$A$4:$E$31,5,FALSE)</f>
        <v>2299</v>
      </c>
      <c r="L176" s="32" t="str">
        <f t="shared" si="4"/>
        <v>MF100W1ダウンライト　□275</v>
      </c>
      <c r="M176" s="14">
        <f>VLOOKUP(L176,照明器具一覧!$B$4:$F$129,5,FALSE)</f>
        <v>100</v>
      </c>
      <c r="N176" s="14">
        <v>1</v>
      </c>
      <c r="O176" s="142">
        <f t="shared" si="5"/>
        <v>919.6</v>
      </c>
    </row>
    <row r="177" spans="1:15">
      <c r="A177" s="2" t="s">
        <v>798</v>
      </c>
      <c r="B177" s="78" t="s">
        <v>1499</v>
      </c>
      <c r="C177" s="48" t="s">
        <v>292</v>
      </c>
      <c r="D177" s="29" t="s">
        <v>344</v>
      </c>
      <c r="E177" s="29" t="s">
        <v>601</v>
      </c>
      <c r="F177" s="49" t="s">
        <v>268</v>
      </c>
      <c r="G177" s="50" t="s">
        <v>19</v>
      </c>
      <c r="H177" s="5">
        <v>1</v>
      </c>
      <c r="I177" s="2" t="s">
        <v>307</v>
      </c>
      <c r="J177" s="24">
        <v>1</v>
      </c>
      <c r="K177" s="32">
        <f>VLOOKUP(E177,照明設備稼働時間!$A$4:$E$31,5,FALSE)</f>
        <v>2299</v>
      </c>
      <c r="L177" s="32" t="str">
        <f t="shared" si="4"/>
        <v>FHF16W1埋込W　高出力</v>
      </c>
      <c r="M177" s="14">
        <f>VLOOKUP(L177,照明器具一覧!$B$4:$F$129,5,FALSE)</f>
        <v>26</v>
      </c>
      <c r="N177" s="14">
        <v>1</v>
      </c>
      <c r="O177" s="142">
        <f t="shared" si="5"/>
        <v>59.774000000000001</v>
      </c>
    </row>
    <row r="178" spans="1:15">
      <c r="A178" s="77" t="s">
        <v>799</v>
      </c>
      <c r="B178" s="78" t="s">
        <v>1499</v>
      </c>
      <c r="C178" s="48" t="s">
        <v>291</v>
      </c>
      <c r="D178" s="29" t="s">
        <v>344</v>
      </c>
      <c r="E178" s="29" t="s">
        <v>1507</v>
      </c>
      <c r="F178" s="49" t="s">
        <v>38</v>
      </c>
      <c r="G178" s="50" t="s">
        <v>21</v>
      </c>
      <c r="H178" s="5">
        <v>1</v>
      </c>
      <c r="I178" s="2" t="s">
        <v>253</v>
      </c>
      <c r="J178" s="24">
        <v>1</v>
      </c>
      <c r="K178" s="32">
        <f>VLOOKUP(E178,照明設備稼働時間!$A$4:$E$31,5,FALSE)</f>
        <v>0</v>
      </c>
      <c r="L178" s="32" t="str">
        <f t="shared" si="4"/>
        <v>FHF32W1片反射笠付</v>
      </c>
      <c r="M178" s="14">
        <f>VLOOKUP(L178,照明器具一覧!$B$4:$F$129,5,FALSE)</f>
        <v>36</v>
      </c>
      <c r="N178" s="14">
        <v>1</v>
      </c>
      <c r="O178" s="142">
        <f t="shared" si="5"/>
        <v>0</v>
      </c>
    </row>
    <row r="179" spans="1:15">
      <c r="A179" s="2" t="s">
        <v>800</v>
      </c>
      <c r="B179" s="78" t="s">
        <v>1499</v>
      </c>
      <c r="C179" s="48" t="s">
        <v>285</v>
      </c>
      <c r="D179" s="29" t="s">
        <v>344</v>
      </c>
      <c r="E179" s="29" t="s">
        <v>601</v>
      </c>
      <c r="F179" s="49" t="s">
        <v>267</v>
      </c>
      <c r="G179" s="50" t="s">
        <v>21</v>
      </c>
      <c r="H179" s="5">
        <v>1</v>
      </c>
      <c r="I179" s="2" t="s">
        <v>551</v>
      </c>
      <c r="J179" s="24">
        <v>1</v>
      </c>
      <c r="K179" s="32">
        <f>VLOOKUP(E179,照明設備稼働時間!$A$4:$E$31,5,FALSE)</f>
        <v>2299</v>
      </c>
      <c r="L179" s="32" t="str">
        <f t="shared" si="4"/>
        <v>FHF32W1階段灯　非常灯付</v>
      </c>
      <c r="M179" s="14">
        <f>VLOOKUP(L179,照明器具一覧!$B$4:$F$129,5,FALSE)</f>
        <v>36</v>
      </c>
      <c r="N179" s="14">
        <v>1</v>
      </c>
      <c r="O179" s="142">
        <f t="shared" si="5"/>
        <v>82.763999999999996</v>
      </c>
    </row>
    <row r="180" spans="1:15">
      <c r="A180" s="77" t="s">
        <v>801</v>
      </c>
      <c r="B180" s="78" t="s">
        <v>1499</v>
      </c>
      <c r="C180" s="48" t="s">
        <v>286</v>
      </c>
      <c r="D180" s="29" t="s">
        <v>344</v>
      </c>
      <c r="E180" s="29" t="s">
        <v>601</v>
      </c>
      <c r="F180" s="49" t="s">
        <v>267</v>
      </c>
      <c r="G180" s="50" t="s">
        <v>21</v>
      </c>
      <c r="H180" s="5">
        <v>1</v>
      </c>
      <c r="I180" s="2" t="s">
        <v>551</v>
      </c>
      <c r="J180" s="24">
        <v>1</v>
      </c>
      <c r="K180" s="32">
        <f>VLOOKUP(E180,照明設備稼働時間!$A$4:$E$31,5,FALSE)</f>
        <v>2299</v>
      </c>
      <c r="L180" s="32" t="str">
        <f t="shared" si="4"/>
        <v>FHF32W1階段灯　非常灯付</v>
      </c>
      <c r="M180" s="14">
        <f>VLOOKUP(L180,照明器具一覧!$B$4:$F$129,5,FALSE)</f>
        <v>36</v>
      </c>
      <c r="N180" s="14">
        <v>1</v>
      </c>
      <c r="O180" s="142">
        <f t="shared" si="5"/>
        <v>82.763999999999996</v>
      </c>
    </row>
    <row r="181" spans="1:15">
      <c r="A181" s="2" t="s">
        <v>802</v>
      </c>
      <c r="B181" s="78" t="s">
        <v>1499</v>
      </c>
      <c r="C181" s="48" t="s">
        <v>294</v>
      </c>
      <c r="D181" s="29" t="s">
        <v>344</v>
      </c>
      <c r="E181" s="29" t="s">
        <v>606</v>
      </c>
      <c r="F181" s="49" t="s">
        <v>458</v>
      </c>
      <c r="G181" s="50" t="s">
        <v>21</v>
      </c>
      <c r="H181" s="5">
        <v>1</v>
      </c>
      <c r="I181" s="2" t="s">
        <v>251</v>
      </c>
      <c r="J181" s="24">
        <v>2</v>
      </c>
      <c r="K181" s="32">
        <f>VLOOKUP(E181,照明設備稼働時間!$A$4:$E$31,5,FALSE)</f>
        <v>242</v>
      </c>
      <c r="L181" s="32" t="str">
        <f t="shared" si="4"/>
        <v>FHF32W1笠付</v>
      </c>
      <c r="M181" s="14">
        <f>VLOOKUP(L181,照明器具一覧!$B$4:$F$129,5,FALSE)</f>
        <v>36</v>
      </c>
      <c r="N181" s="14">
        <v>1</v>
      </c>
      <c r="O181" s="142">
        <f t="shared" si="5"/>
        <v>17.423999999999999</v>
      </c>
    </row>
    <row r="182" spans="1:15">
      <c r="A182" s="77" t="s">
        <v>803</v>
      </c>
      <c r="B182" s="78" t="s">
        <v>1499</v>
      </c>
      <c r="C182" s="48" t="s">
        <v>287</v>
      </c>
      <c r="D182" s="29" t="s">
        <v>344</v>
      </c>
      <c r="E182" s="29" t="s">
        <v>600</v>
      </c>
      <c r="F182" s="49" t="s">
        <v>353</v>
      </c>
      <c r="G182" s="50" t="s">
        <v>21</v>
      </c>
      <c r="H182" s="5">
        <v>2</v>
      </c>
      <c r="I182" s="2" t="s">
        <v>305</v>
      </c>
      <c r="J182" s="24">
        <v>3</v>
      </c>
      <c r="K182" s="32">
        <f>VLOOKUP(E182,照明設備稼働時間!$A$4:$E$31,5,FALSE)</f>
        <v>2299</v>
      </c>
      <c r="L182" s="32" t="str">
        <f t="shared" si="4"/>
        <v>FHF32W2システム天井</v>
      </c>
      <c r="M182" s="14">
        <f>VLOOKUP(L182,照明器具一覧!$B$4:$F$129,5,FALSE)</f>
        <v>72</v>
      </c>
      <c r="N182" s="14">
        <v>1</v>
      </c>
      <c r="O182" s="142">
        <f t="shared" si="5"/>
        <v>496.584</v>
      </c>
    </row>
    <row r="183" spans="1:15">
      <c r="A183" s="2" t="s">
        <v>804</v>
      </c>
      <c r="B183" s="78" t="s">
        <v>1499</v>
      </c>
      <c r="C183" s="48" t="s">
        <v>295</v>
      </c>
      <c r="D183" s="29" t="s">
        <v>344</v>
      </c>
      <c r="E183" s="29" t="s">
        <v>600</v>
      </c>
      <c r="F183" s="49" t="s">
        <v>354</v>
      </c>
      <c r="G183" s="50" t="s">
        <v>21</v>
      </c>
      <c r="H183" s="5">
        <v>2</v>
      </c>
      <c r="I183" s="2" t="s">
        <v>308</v>
      </c>
      <c r="J183" s="24">
        <v>2</v>
      </c>
      <c r="K183" s="32">
        <f>VLOOKUP(E183,照明設備稼働時間!$A$4:$E$31,5,FALSE)</f>
        <v>2299</v>
      </c>
      <c r="L183" s="32" t="str">
        <f t="shared" si="4"/>
        <v>FHF32W2埋込W300</v>
      </c>
      <c r="M183" s="14">
        <f>VLOOKUP(L183,照明器具一覧!$B$4:$F$129,5,FALSE)</f>
        <v>71</v>
      </c>
      <c r="N183" s="14">
        <v>1</v>
      </c>
      <c r="O183" s="142">
        <f t="shared" si="5"/>
        <v>326.45800000000003</v>
      </c>
    </row>
    <row r="184" spans="1:15">
      <c r="A184" s="77" t="s">
        <v>805</v>
      </c>
      <c r="B184" s="78" t="s">
        <v>1499</v>
      </c>
      <c r="C184" s="48" t="s">
        <v>295</v>
      </c>
      <c r="D184" s="29" t="s">
        <v>344</v>
      </c>
      <c r="E184" s="29" t="s">
        <v>600</v>
      </c>
      <c r="F184" s="49" t="s">
        <v>354</v>
      </c>
      <c r="G184" s="50" t="s">
        <v>21</v>
      </c>
      <c r="H184" s="5">
        <v>2</v>
      </c>
      <c r="I184" s="2" t="s">
        <v>308</v>
      </c>
      <c r="J184" s="24">
        <v>2</v>
      </c>
      <c r="K184" s="32">
        <f>VLOOKUP(E184,照明設備稼働時間!$A$4:$E$31,5,FALSE)</f>
        <v>2299</v>
      </c>
      <c r="L184" s="32" t="str">
        <f t="shared" si="4"/>
        <v>FHF32W2埋込W300</v>
      </c>
      <c r="M184" s="14">
        <f>VLOOKUP(L184,照明器具一覧!$B$4:$F$129,5,FALSE)</f>
        <v>71</v>
      </c>
      <c r="N184" s="14">
        <v>1</v>
      </c>
      <c r="O184" s="142">
        <f t="shared" si="5"/>
        <v>326.45800000000003</v>
      </c>
    </row>
    <row r="185" spans="1:15">
      <c r="A185" s="2" t="s">
        <v>806</v>
      </c>
      <c r="B185" s="78" t="s">
        <v>1499</v>
      </c>
      <c r="C185" s="48"/>
      <c r="D185" s="29" t="s">
        <v>344</v>
      </c>
      <c r="E185" s="29" t="s">
        <v>600</v>
      </c>
      <c r="F185" s="49" t="s">
        <v>354</v>
      </c>
      <c r="G185" s="50" t="s">
        <v>384</v>
      </c>
      <c r="H185" s="5">
        <v>2</v>
      </c>
      <c r="I185" s="2" t="s">
        <v>376</v>
      </c>
      <c r="J185" s="24">
        <v>6</v>
      </c>
      <c r="K185" s="32">
        <f>VLOOKUP(E185,照明設備稼働時間!$A$4:$E$31,5,FALSE)</f>
        <v>2299</v>
      </c>
      <c r="L185" s="32" t="str">
        <f t="shared" si="4"/>
        <v>FHF32W2直付開放</v>
      </c>
      <c r="M185" s="14">
        <f>VLOOKUP(L185,照明器具一覧!$B$4:$F$129,5,FALSE)</f>
        <v>72</v>
      </c>
      <c r="N185" s="14">
        <v>1</v>
      </c>
      <c r="O185" s="142">
        <f t="shared" si="5"/>
        <v>993.16800000000001</v>
      </c>
    </row>
    <row r="186" spans="1:15">
      <c r="A186" s="77" t="s">
        <v>807</v>
      </c>
      <c r="B186" s="78" t="s">
        <v>1499</v>
      </c>
      <c r="C186" s="48" t="s">
        <v>287</v>
      </c>
      <c r="D186" s="29" t="s">
        <v>344</v>
      </c>
      <c r="E186" s="29" t="s">
        <v>600</v>
      </c>
      <c r="F186" s="49" t="s">
        <v>355</v>
      </c>
      <c r="G186" s="50" t="s">
        <v>384</v>
      </c>
      <c r="H186" s="5">
        <v>2</v>
      </c>
      <c r="I186" s="2" t="s">
        <v>305</v>
      </c>
      <c r="J186" s="24">
        <v>104</v>
      </c>
      <c r="K186" s="32">
        <f>VLOOKUP(E186,照明設備稼働時間!$A$4:$E$31,5,FALSE)</f>
        <v>2299</v>
      </c>
      <c r="L186" s="32" t="str">
        <f t="shared" si="4"/>
        <v>FHF32W2システム天井</v>
      </c>
      <c r="M186" s="14">
        <f>VLOOKUP(L186,照明器具一覧!$B$4:$F$129,5,FALSE)</f>
        <v>72</v>
      </c>
      <c r="N186" s="14">
        <v>1</v>
      </c>
      <c r="O186" s="142">
        <f t="shared" si="5"/>
        <v>17214.912</v>
      </c>
    </row>
    <row r="187" spans="1:15">
      <c r="A187" s="2" t="s">
        <v>808</v>
      </c>
      <c r="B187" s="78" t="s">
        <v>1499</v>
      </c>
      <c r="C187" s="48" t="s">
        <v>290</v>
      </c>
      <c r="D187" s="29" t="s">
        <v>344</v>
      </c>
      <c r="E187" s="29" t="s">
        <v>600</v>
      </c>
      <c r="F187" s="49" t="s">
        <v>355</v>
      </c>
      <c r="G187" s="50" t="s">
        <v>21</v>
      </c>
      <c r="H187" s="5">
        <v>1</v>
      </c>
      <c r="I187" s="2" t="s">
        <v>89</v>
      </c>
      <c r="J187" s="24">
        <v>46</v>
      </c>
      <c r="K187" s="32">
        <f>VLOOKUP(E187,照明設備稼働時間!$A$4:$E$31,5,FALSE)</f>
        <v>2299</v>
      </c>
      <c r="L187" s="32" t="str">
        <f t="shared" si="4"/>
        <v>FHF32W1トラフ</v>
      </c>
      <c r="M187" s="14">
        <f>VLOOKUP(L187,照明器具一覧!$B$4:$F$129,5,FALSE)</f>
        <v>36</v>
      </c>
      <c r="N187" s="14">
        <v>1</v>
      </c>
      <c r="O187" s="142">
        <f t="shared" si="5"/>
        <v>3807.1439999999998</v>
      </c>
    </row>
    <row r="188" spans="1:15">
      <c r="A188" s="77" t="s">
        <v>809</v>
      </c>
      <c r="B188" s="78" t="s">
        <v>1499</v>
      </c>
      <c r="C188" s="48" t="s">
        <v>282</v>
      </c>
      <c r="D188" s="29" t="s">
        <v>344</v>
      </c>
      <c r="E188" s="29" t="s">
        <v>603</v>
      </c>
      <c r="F188" s="49" t="s">
        <v>311</v>
      </c>
      <c r="G188" s="50" t="s">
        <v>21</v>
      </c>
      <c r="H188" s="5">
        <v>1</v>
      </c>
      <c r="I188" s="2" t="s">
        <v>301</v>
      </c>
      <c r="J188" s="24">
        <v>1</v>
      </c>
      <c r="K188" s="32">
        <f>VLOOKUP(E188,照明設備稼働時間!$A$4:$E$31,5,FALSE)</f>
        <v>968</v>
      </c>
      <c r="L188" s="32" t="str">
        <f t="shared" si="4"/>
        <v>FHF32W1逆富士</v>
      </c>
      <c r="M188" s="14">
        <f>VLOOKUP(L188,照明器具一覧!$B$4:$F$129,5,FALSE)</f>
        <v>36</v>
      </c>
      <c r="N188" s="14">
        <v>1</v>
      </c>
      <c r="O188" s="142">
        <f t="shared" si="5"/>
        <v>34.847999999999999</v>
      </c>
    </row>
    <row r="189" spans="1:15">
      <c r="A189" s="2" t="s">
        <v>810</v>
      </c>
      <c r="B189" s="78" t="s">
        <v>1499</v>
      </c>
      <c r="C189" s="48"/>
      <c r="D189" s="29" t="s">
        <v>344</v>
      </c>
      <c r="E189" s="29" t="s">
        <v>603</v>
      </c>
      <c r="F189" s="49" t="s">
        <v>311</v>
      </c>
      <c r="G189" s="50" t="s">
        <v>31</v>
      </c>
      <c r="H189" s="5">
        <v>1</v>
      </c>
      <c r="I189" s="2" t="s">
        <v>316</v>
      </c>
      <c r="J189" s="24">
        <v>2</v>
      </c>
      <c r="K189" s="32">
        <f>VLOOKUP(E189,照明設備稼働時間!$A$4:$E$31,5,FALSE)</f>
        <v>968</v>
      </c>
      <c r="L189" s="32" t="str">
        <f t="shared" si="4"/>
        <v>LED電球1レセップ</v>
      </c>
      <c r="M189" s="14">
        <f>VLOOKUP(L189,照明器具一覧!$B$4:$F$129,5,FALSE)</f>
        <v>4.5999999999999996</v>
      </c>
      <c r="N189" s="14">
        <v>1</v>
      </c>
      <c r="O189" s="142">
        <f t="shared" si="5"/>
        <v>8.905599999999998</v>
      </c>
    </row>
    <row r="190" spans="1:15">
      <c r="A190" s="77" t="s">
        <v>811</v>
      </c>
      <c r="B190" s="78" t="s">
        <v>1499</v>
      </c>
      <c r="C190" s="48" t="s">
        <v>282</v>
      </c>
      <c r="D190" s="29" t="s">
        <v>344</v>
      </c>
      <c r="E190" s="29" t="s">
        <v>603</v>
      </c>
      <c r="F190" s="49" t="s">
        <v>310</v>
      </c>
      <c r="G190" s="50" t="s">
        <v>21</v>
      </c>
      <c r="H190" s="5">
        <v>1</v>
      </c>
      <c r="I190" s="2" t="s">
        <v>301</v>
      </c>
      <c r="J190" s="24">
        <v>1</v>
      </c>
      <c r="K190" s="32">
        <f>VLOOKUP(E190,照明設備稼働時間!$A$4:$E$31,5,FALSE)</f>
        <v>968</v>
      </c>
      <c r="L190" s="32" t="str">
        <f t="shared" si="4"/>
        <v>FHF32W1逆富士</v>
      </c>
      <c r="M190" s="14">
        <f>VLOOKUP(L190,照明器具一覧!$B$4:$F$129,5,FALSE)</f>
        <v>36</v>
      </c>
      <c r="N190" s="14">
        <v>1</v>
      </c>
      <c r="O190" s="142">
        <f t="shared" si="5"/>
        <v>34.847999999999999</v>
      </c>
    </row>
    <row r="191" spans="1:15">
      <c r="A191" s="2" t="s">
        <v>812</v>
      </c>
      <c r="B191" s="78" t="s">
        <v>1499</v>
      </c>
      <c r="C191" s="48"/>
      <c r="D191" s="29" t="s">
        <v>344</v>
      </c>
      <c r="E191" s="29" t="s">
        <v>603</v>
      </c>
      <c r="F191" s="49" t="s">
        <v>310</v>
      </c>
      <c r="G191" s="50" t="s">
        <v>31</v>
      </c>
      <c r="H191" s="5">
        <v>1</v>
      </c>
      <c r="I191" s="2" t="s">
        <v>316</v>
      </c>
      <c r="J191" s="24">
        <v>3</v>
      </c>
      <c r="K191" s="32">
        <f>VLOOKUP(E191,照明設備稼働時間!$A$4:$E$31,5,FALSE)</f>
        <v>968</v>
      </c>
      <c r="L191" s="32" t="str">
        <f t="shared" si="4"/>
        <v>LED電球1レセップ</v>
      </c>
      <c r="M191" s="14">
        <f>VLOOKUP(L191,照明器具一覧!$B$4:$F$129,5,FALSE)</f>
        <v>4.5999999999999996</v>
      </c>
      <c r="N191" s="14">
        <v>1</v>
      </c>
      <c r="O191" s="142">
        <f t="shared" si="5"/>
        <v>13.3584</v>
      </c>
    </row>
    <row r="192" spans="1:15">
      <c r="A192" s="77" t="s">
        <v>813</v>
      </c>
      <c r="B192" s="78" t="s">
        <v>1499</v>
      </c>
      <c r="C192" s="48" t="s">
        <v>283</v>
      </c>
      <c r="D192" s="29" t="s">
        <v>344</v>
      </c>
      <c r="E192" s="29" t="s">
        <v>601</v>
      </c>
      <c r="F192" s="49" t="s">
        <v>273</v>
      </c>
      <c r="G192" s="50" t="s">
        <v>21</v>
      </c>
      <c r="H192" s="5">
        <v>1</v>
      </c>
      <c r="I192" s="2" t="s">
        <v>302</v>
      </c>
      <c r="J192" s="24">
        <v>3</v>
      </c>
      <c r="K192" s="32">
        <f>VLOOKUP(E192,照明設備稼働時間!$A$4:$E$31,5,FALSE)</f>
        <v>2299</v>
      </c>
      <c r="L192" s="32" t="str">
        <f t="shared" si="4"/>
        <v>FHF32W1埋込W190</v>
      </c>
      <c r="M192" s="14">
        <f>VLOOKUP(L192,照明器具一覧!$B$4:$F$129,5,FALSE)</f>
        <v>36</v>
      </c>
      <c r="N192" s="14">
        <v>1</v>
      </c>
      <c r="O192" s="142">
        <f t="shared" si="5"/>
        <v>248.292</v>
      </c>
    </row>
    <row r="193" spans="1:15">
      <c r="A193" s="2" t="s">
        <v>814</v>
      </c>
      <c r="B193" s="78" t="s">
        <v>1499</v>
      </c>
      <c r="C193" s="48" t="s">
        <v>285</v>
      </c>
      <c r="D193" s="29" t="s">
        <v>344</v>
      </c>
      <c r="E193" s="29" t="s">
        <v>601</v>
      </c>
      <c r="F193" s="49" t="s">
        <v>274</v>
      </c>
      <c r="G193" s="50" t="s">
        <v>21</v>
      </c>
      <c r="H193" s="5">
        <v>1</v>
      </c>
      <c r="I193" s="2" t="s">
        <v>551</v>
      </c>
      <c r="J193" s="24">
        <v>1</v>
      </c>
      <c r="K193" s="32">
        <f>VLOOKUP(E193,照明設備稼働時間!$A$4:$E$31,5,FALSE)</f>
        <v>2299</v>
      </c>
      <c r="L193" s="32" t="str">
        <f t="shared" si="4"/>
        <v>FHF32W1階段灯　非常灯付</v>
      </c>
      <c r="M193" s="14">
        <f>VLOOKUP(L193,照明器具一覧!$B$4:$F$129,5,FALSE)</f>
        <v>36</v>
      </c>
      <c r="N193" s="14">
        <v>1</v>
      </c>
      <c r="O193" s="142">
        <f t="shared" si="5"/>
        <v>82.763999999999996</v>
      </c>
    </row>
    <row r="194" spans="1:15">
      <c r="A194" s="77" t="s">
        <v>815</v>
      </c>
      <c r="B194" s="78" t="s">
        <v>1499</v>
      </c>
      <c r="C194" s="48" t="s">
        <v>286</v>
      </c>
      <c r="D194" s="29" t="s">
        <v>344</v>
      </c>
      <c r="E194" s="29" t="s">
        <v>601</v>
      </c>
      <c r="F194" s="49" t="s">
        <v>274</v>
      </c>
      <c r="G194" s="50" t="s">
        <v>21</v>
      </c>
      <c r="H194" s="5">
        <v>1</v>
      </c>
      <c r="I194" s="2" t="s">
        <v>551</v>
      </c>
      <c r="J194" s="24">
        <v>1</v>
      </c>
      <c r="K194" s="32">
        <f>VLOOKUP(E194,照明設備稼働時間!$A$4:$E$31,5,FALSE)</f>
        <v>2299</v>
      </c>
      <c r="L194" s="32" t="str">
        <f t="shared" si="4"/>
        <v>FHF32W1階段灯　非常灯付</v>
      </c>
      <c r="M194" s="14">
        <f>VLOOKUP(L194,照明器具一覧!$B$4:$F$129,5,FALSE)</f>
        <v>36</v>
      </c>
      <c r="N194" s="14">
        <v>1</v>
      </c>
      <c r="O194" s="142">
        <f t="shared" si="5"/>
        <v>82.763999999999996</v>
      </c>
    </row>
    <row r="195" spans="1:15">
      <c r="A195" s="2" t="s">
        <v>816</v>
      </c>
      <c r="B195" s="78" t="s">
        <v>1499</v>
      </c>
      <c r="C195" s="48" t="s">
        <v>282</v>
      </c>
      <c r="D195" s="29" t="s">
        <v>344</v>
      </c>
      <c r="E195" s="29" t="s">
        <v>1513</v>
      </c>
      <c r="F195" s="49" t="s">
        <v>312</v>
      </c>
      <c r="G195" s="50" t="s">
        <v>21</v>
      </c>
      <c r="H195" s="5">
        <v>1</v>
      </c>
      <c r="I195" s="2" t="s">
        <v>301</v>
      </c>
      <c r="J195" s="24">
        <v>1</v>
      </c>
      <c r="K195" s="32">
        <f>VLOOKUP(E195,照明設備稼働時間!$A$4:$E$31,5,FALSE)</f>
        <v>484</v>
      </c>
      <c r="L195" s="32" t="str">
        <f t="shared" si="4"/>
        <v>FHF32W1逆富士</v>
      </c>
      <c r="M195" s="14">
        <f>VLOOKUP(L195,照明器具一覧!$B$4:$F$129,5,FALSE)</f>
        <v>36</v>
      </c>
      <c r="N195" s="14">
        <v>1</v>
      </c>
      <c r="O195" s="142">
        <f t="shared" si="5"/>
        <v>17.423999999999999</v>
      </c>
    </row>
    <row r="196" spans="1:15">
      <c r="A196" s="77" t="s">
        <v>817</v>
      </c>
      <c r="B196" s="78" t="s">
        <v>1499</v>
      </c>
      <c r="C196" s="48" t="s">
        <v>282</v>
      </c>
      <c r="D196" s="29" t="s">
        <v>344</v>
      </c>
      <c r="E196" s="29" t="s">
        <v>44</v>
      </c>
      <c r="F196" s="49" t="s">
        <v>313</v>
      </c>
      <c r="G196" s="50" t="s">
        <v>21</v>
      </c>
      <c r="H196" s="5">
        <v>1</v>
      </c>
      <c r="I196" s="2" t="s">
        <v>301</v>
      </c>
      <c r="J196" s="24">
        <v>1</v>
      </c>
      <c r="K196" s="32">
        <f>VLOOKUP(E196,照明設備稼働時間!$A$4:$E$31,5,FALSE)</f>
        <v>242</v>
      </c>
      <c r="L196" s="32" t="str">
        <f t="shared" ref="L196:L259" si="6">G196&amp;H196&amp;I196</f>
        <v>FHF32W1逆富士</v>
      </c>
      <c r="M196" s="14">
        <f>VLOOKUP(L196,照明器具一覧!$B$4:$F$129,5,FALSE)</f>
        <v>36</v>
      </c>
      <c r="N196" s="14">
        <v>1</v>
      </c>
      <c r="O196" s="142">
        <f t="shared" si="5"/>
        <v>8.7119999999999997</v>
      </c>
    </row>
    <row r="197" spans="1:15">
      <c r="A197" s="2" t="s">
        <v>818</v>
      </c>
      <c r="B197" s="78" t="s">
        <v>1499</v>
      </c>
      <c r="C197" s="48" t="s">
        <v>284</v>
      </c>
      <c r="D197" s="29" t="s">
        <v>344</v>
      </c>
      <c r="E197" s="29" t="s">
        <v>1507</v>
      </c>
      <c r="F197" s="49" t="s">
        <v>61</v>
      </c>
      <c r="G197" s="50" t="s">
        <v>19</v>
      </c>
      <c r="H197" s="5">
        <v>1</v>
      </c>
      <c r="I197" s="2" t="s">
        <v>303</v>
      </c>
      <c r="J197" s="24">
        <v>1</v>
      </c>
      <c r="K197" s="32">
        <f>VLOOKUP(E197,照明設備稼働時間!$A$4:$E$31,5,FALSE)</f>
        <v>0</v>
      </c>
      <c r="L197" s="32" t="str">
        <f t="shared" si="6"/>
        <v>FHF16W1片反射笠付（高出力）</v>
      </c>
      <c r="M197" s="14">
        <f>VLOOKUP(L197,照明器具一覧!$B$4:$F$129,5,FALSE)</f>
        <v>26</v>
      </c>
      <c r="N197" s="14">
        <v>1</v>
      </c>
      <c r="O197" s="142">
        <f t="shared" ref="O197:O260" si="7">(M197*J197*K197*N197)/1000</f>
        <v>0</v>
      </c>
    </row>
    <row r="198" spans="1:15">
      <c r="A198" s="77" t="s">
        <v>819</v>
      </c>
      <c r="B198" s="78" t="s">
        <v>1499</v>
      </c>
      <c r="C198" s="48"/>
      <c r="D198" s="29" t="s">
        <v>345</v>
      </c>
      <c r="E198" s="29" t="s">
        <v>601</v>
      </c>
      <c r="F198" s="49" t="s">
        <v>546</v>
      </c>
      <c r="G198" s="50" t="s">
        <v>373</v>
      </c>
      <c r="H198" s="5">
        <v>1</v>
      </c>
      <c r="I198" s="2" t="s">
        <v>73</v>
      </c>
      <c r="J198" s="24">
        <v>5</v>
      </c>
      <c r="K198" s="32">
        <f>VLOOKUP(E198,照明設備稼働時間!$A$4:$E$31,5,FALSE)</f>
        <v>2299</v>
      </c>
      <c r="L198" s="32" t="str">
        <f t="shared" si="6"/>
        <v>IL60W1ダウンライト</v>
      </c>
      <c r="M198" s="14">
        <f>VLOOKUP(L198,照明器具一覧!$B$4:$F$129,5,FALSE)</f>
        <v>60</v>
      </c>
      <c r="N198" s="14">
        <v>1</v>
      </c>
      <c r="O198" s="142">
        <f t="shared" si="7"/>
        <v>689.7</v>
      </c>
    </row>
    <row r="199" spans="1:15">
      <c r="A199" s="2" t="s">
        <v>820</v>
      </c>
      <c r="B199" s="78" t="s">
        <v>1499</v>
      </c>
      <c r="C199" s="48" t="s">
        <v>371</v>
      </c>
      <c r="D199" s="29" t="s">
        <v>344</v>
      </c>
      <c r="E199" s="29" t="s">
        <v>606</v>
      </c>
      <c r="F199" s="49" t="s">
        <v>357</v>
      </c>
      <c r="G199" s="50" t="s">
        <v>21</v>
      </c>
      <c r="H199" s="5">
        <v>2</v>
      </c>
      <c r="I199" s="2" t="s">
        <v>301</v>
      </c>
      <c r="J199" s="24">
        <v>6</v>
      </c>
      <c r="K199" s="32">
        <f>VLOOKUP(E199,照明設備稼働時間!$A$4:$E$31,5,FALSE)</f>
        <v>242</v>
      </c>
      <c r="L199" s="32" t="str">
        <f t="shared" si="6"/>
        <v>FHF32W2逆富士</v>
      </c>
      <c r="M199" s="14">
        <f>VLOOKUP(L199,照明器具一覧!$B$4:$F$129,5,FALSE)</f>
        <v>72</v>
      </c>
      <c r="N199" s="14">
        <v>1</v>
      </c>
      <c r="O199" s="142">
        <f t="shared" si="7"/>
        <v>104.544</v>
      </c>
    </row>
    <row r="200" spans="1:15">
      <c r="A200" s="77" t="s">
        <v>821</v>
      </c>
      <c r="B200" s="78" t="s">
        <v>1499</v>
      </c>
      <c r="C200" s="48" t="s">
        <v>287</v>
      </c>
      <c r="D200" s="29" t="s">
        <v>344</v>
      </c>
      <c r="E200" s="29" t="s">
        <v>600</v>
      </c>
      <c r="F200" s="49" t="s">
        <v>355</v>
      </c>
      <c r="G200" s="50" t="s">
        <v>21</v>
      </c>
      <c r="H200" s="5">
        <v>2</v>
      </c>
      <c r="I200" s="2" t="s">
        <v>305</v>
      </c>
      <c r="J200" s="24">
        <v>107</v>
      </c>
      <c r="K200" s="32">
        <f>VLOOKUP(E200,照明設備稼働時間!$A$4:$E$31,5,FALSE)</f>
        <v>2299</v>
      </c>
      <c r="L200" s="32" t="str">
        <f t="shared" si="6"/>
        <v>FHF32W2システム天井</v>
      </c>
      <c r="M200" s="14">
        <f>VLOOKUP(L200,照明器具一覧!$B$4:$F$129,5,FALSE)</f>
        <v>72</v>
      </c>
      <c r="N200" s="14">
        <v>1</v>
      </c>
      <c r="O200" s="142">
        <f t="shared" si="7"/>
        <v>17711.495999999999</v>
      </c>
    </row>
    <row r="201" spans="1:15">
      <c r="A201" s="2" t="s">
        <v>822</v>
      </c>
      <c r="B201" s="78" t="s">
        <v>1499</v>
      </c>
      <c r="C201" s="48" t="s">
        <v>288</v>
      </c>
      <c r="D201" s="29" t="s">
        <v>344</v>
      </c>
      <c r="E201" s="29" t="s">
        <v>600</v>
      </c>
      <c r="F201" s="49" t="s">
        <v>355</v>
      </c>
      <c r="G201" s="50" t="s">
        <v>19</v>
      </c>
      <c r="H201" s="5">
        <v>2</v>
      </c>
      <c r="I201" s="2" t="s">
        <v>305</v>
      </c>
      <c r="J201" s="24">
        <v>5</v>
      </c>
      <c r="K201" s="32">
        <f>VLOOKUP(E201,照明設備稼働時間!$A$4:$E$31,5,FALSE)</f>
        <v>2299</v>
      </c>
      <c r="L201" s="32" t="str">
        <f t="shared" si="6"/>
        <v>FHF16W2システム天井</v>
      </c>
      <c r="M201" s="14">
        <f>VLOOKUP(L201,照明器具一覧!$B$4:$F$129,5,FALSE)</f>
        <v>26</v>
      </c>
      <c r="N201" s="14">
        <v>1</v>
      </c>
      <c r="O201" s="142">
        <f t="shared" si="7"/>
        <v>298.87</v>
      </c>
    </row>
    <row r="202" spans="1:15">
      <c r="A202" s="77" t="s">
        <v>823</v>
      </c>
      <c r="B202" s="78" t="s">
        <v>1499</v>
      </c>
      <c r="C202" s="48" t="s">
        <v>290</v>
      </c>
      <c r="D202" s="29" t="s">
        <v>344</v>
      </c>
      <c r="E202" s="29" t="s">
        <v>600</v>
      </c>
      <c r="F202" s="49" t="s">
        <v>355</v>
      </c>
      <c r="G202" s="50" t="s">
        <v>21</v>
      </c>
      <c r="H202" s="5">
        <v>1</v>
      </c>
      <c r="I202" s="2" t="s">
        <v>89</v>
      </c>
      <c r="J202" s="24">
        <v>48</v>
      </c>
      <c r="K202" s="32">
        <f>VLOOKUP(E202,照明設備稼働時間!$A$4:$E$31,5,FALSE)</f>
        <v>2299</v>
      </c>
      <c r="L202" s="32" t="str">
        <f t="shared" si="6"/>
        <v>FHF32W1トラフ</v>
      </c>
      <c r="M202" s="14">
        <f>VLOOKUP(L202,照明器具一覧!$B$4:$F$129,5,FALSE)</f>
        <v>36</v>
      </c>
      <c r="N202" s="14">
        <v>1</v>
      </c>
      <c r="O202" s="142">
        <f t="shared" si="7"/>
        <v>3972.672</v>
      </c>
    </row>
    <row r="203" spans="1:15">
      <c r="A203" s="2" t="s">
        <v>824</v>
      </c>
      <c r="B203" s="78" t="s">
        <v>1499</v>
      </c>
      <c r="C203" s="48" t="s">
        <v>282</v>
      </c>
      <c r="D203" s="29" t="s">
        <v>344</v>
      </c>
      <c r="E203" s="29" t="s">
        <v>1513</v>
      </c>
      <c r="F203" s="49" t="s">
        <v>358</v>
      </c>
      <c r="G203" s="50" t="s">
        <v>21</v>
      </c>
      <c r="H203" s="5">
        <v>1</v>
      </c>
      <c r="I203" s="2" t="s">
        <v>301</v>
      </c>
      <c r="J203" s="24">
        <v>1</v>
      </c>
      <c r="K203" s="32">
        <f>VLOOKUP(E203,照明設備稼働時間!$A$4:$E$31,5,FALSE)</f>
        <v>484</v>
      </c>
      <c r="L203" s="32" t="str">
        <f t="shared" si="6"/>
        <v>FHF32W1逆富士</v>
      </c>
      <c r="M203" s="14">
        <f>VLOOKUP(L203,照明器具一覧!$B$4:$F$129,5,FALSE)</f>
        <v>36</v>
      </c>
      <c r="N203" s="14">
        <v>1</v>
      </c>
      <c r="O203" s="142">
        <f t="shared" si="7"/>
        <v>17.423999999999999</v>
      </c>
    </row>
    <row r="204" spans="1:15">
      <c r="A204" s="77" t="s">
        <v>825</v>
      </c>
      <c r="B204" s="78" t="s">
        <v>1499</v>
      </c>
      <c r="C204" s="48" t="s">
        <v>282</v>
      </c>
      <c r="D204" s="29" t="s">
        <v>344</v>
      </c>
      <c r="E204" s="29" t="s">
        <v>44</v>
      </c>
      <c r="F204" s="49" t="s">
        <v>499</v>
      </c>
      <c r="G204" s="50" t="s">
        <v>21</v>
      </c>
      <c r="H204" s="5">
        <v>1</v>
      </c>
      <c r="I204" s="2" t="s">
        <v>301</v>
      </c>
      <c r="J204" s="24">
        <v>1</v>
      </c>
      <c r="K204" s="32">
        <f>VLOOKUP(E204,照明設備稼働時間!$A$4:$E$31,5,FALSE)</f>
        <v>242</v>
      </c>
      <c r="L204" s="32" t="str">
        <f t="shared" si="6"/>
        <v>FHF32W1逆富士</v>
      </c>
      <c r="M204" s="14">
        <f>VLOOKUP(L204,照明器具一覧!$B$4:$F$129,5,FALSE)</f>
        <v>36</v>
      </c>
      <c r="N204" s="14">
        <v>1</v>
      </c>
      <c r="O204" s="142">
        <f t="shared" si="7"/>
        <v>8.7119999999999997</v>
      </c>
    </row>
    <row r="205" spans="1:15">
      <c r="A205" s="2" t="s">
        <v>826</v>
      </c>
      <c r="B205" s="78" t="s">
        <v>1499</v>
      </c>
      <c r="C205" s="48" t="s">
        <v>284</v>
      </c>
      <c r="D205" s="29" t="s">
        <v>344</v>
      </c>
      <c r="E205" s="29" t="s">
        <v>1507</v>
      </c>
      <c r="F205" s="49" t="s">
        <v>64</v>
      </c>
      <c r="G205" s="50" t="s">
        <v>19</v>
      </c>
      <c r="H205" s="5">
        <v>1</v>
      </c>
      <c r="I205" s="2" t="s">
        <v>303</v>
      </c>
      <c r="J205" s="24">
        <v>1</v>
      </c>
      <c r="K205" s="32">
        <f>VLOOKUP(E205,照明設備稼働時間!$A$4:$E$31,5,FALSE)</f>
        <v>0</v>
      </c>
      <c r="L205" s="32" t="str">
        <f t="shared" si="6"/>
        <v>FHF16W1片反射笠付（高出力）</v>
      </c>
      <c r="M205" s="14">
        <f>VLOOKUP(L205,照明器具一覧!$B$4:$F$129,5,FALSE)</f>
        <v>26</v>
      </c>
      <c r="N205" s="14">
        <v>1</v>
      </c>
      <c r="O205" s="142">
        <f t="shared" si="7"/>
        <v>0</v>
      </c>
    </row>
    <row r="206" spans="1:15">
      <c r="A206" s="77" t="s">
        <v>827</v>
      </c>
      <c r="B206" s="78" t="s">
        <v>1499</v>
      </c>
      <c r="C206" s="48" t="s">
        <v>292</v>
      </c>
      <c r="D206" s="29" t="s">
        <v>344</v>
      </c>
      <c r="E206" s="29" t="s">
        <v>601</v>
      </c>
      <c r="F206" s="49" t="s">
        <v>278</v>
      </c>
      <c r="G206" s="50" t="s">
        <v>19</v>
      </c>
      <c r="H206" s="5">
        <v>1</v>
      </c>
      <c r="I206" s="2" t="s">
        <v>307</v>
      </c>
      <c r="J206" s="24">
        <v>2</v>
      </c>
      <c r="K206" s="32">
        <f>VLOOKUP(E206,照明設備稼働時間!$A$4:$E$31,5,FALSE)</f>
        <v>2299</v>
      </c>
      <c r="L206" s="32" t="str">
        <f t="shared" si="6"/>
        <v>FHF16W1埋込W　高出力</v>
      </c>
      <c r="M206" s="14">
        <f>VLOOKUP(L206,照明器具一覧!$B$4:$F$129,5,FALSE)</f>
        <v>26</v>
      </c>
      <c r="N206" s="14">
        <v>1</v>
      </c>
      <c r="O206" s="142">
        <f t="shared" si="7"/>
        <v>119.548</v>
      </c>
    </row>
    <row r="207" spans="1:15">
      <c r="A207" s="2" t="s">
        <v>828</v>
      </c>
      <c r="B207" s="78" t="s">
        <v>1499</v>
      </c>
      <c r="C207" s="48" t="s">
        <v>285</v>
      </c>
      <c r="D207" s="29" t="s">
        <v>344</v>
      </c>
      <c r="E207" s="29" t="s">
        <v>601</v>
      </c>
      <c r="F207" s="49" t="s">
        <v>279</v>
      </c>
      <c r="G207" s="50" t="s">
        <v>21</v>
      </c>
      <c r="H207" s="5">
        <v>1</v>
      </c>
      <c r="I207" s="2" t="s">
        <v>551</v>
      </c>
      <c r="J207" s="24">
        <v>1</v>
      </c>
      <c r="K207" s="32">
        <f>VLOOKUP(E207,照明設備稼働時間!$A$4:$E$31,5,FALSE)</f>
        <v>2299</v>
      </c>
      <c r="L207" s="32" t="str">
        <f t="shared" si="6"/>
        <v>FHF32W1階段灯　非常灯付</v>
      </c>
      <c r="M207" s="14">
        <f>VLOOKUP(L207,照明器具一覧!$B$4:$F$129,5,FALSE)</f>
        <v>36</v>
      </c>
      <c r="N207" s="14">
        <v>1</v>
      </c>
      <c r="O207" s="142">
        <f t="shared" si="7"/>
        <v>82.763999999999996</v>
      </c>
    </row>
    <row r="208" spans="1:15">
      <c r="A208" s="77" t="s">
        <v>829</v>
      </c>
      <c r="B208" s="78" t="s">
        <v>1499</v>
      </c>
      <c r="C208" s="48" t="s">
        <v>286</v>
      </c>
      <c r="D208" s="29" t="s">
        <v>344</v>
      </c>
      <c r="E208" s="29" t="s">
        <v>601</v>
      </c>
      <c r="F208" s="49" t="s">
        <v>279</v>
      </c>
      <c r="G208" s="50" t="s">
        <v>21</v>
      </c>
      <c r="H208" s="5">
        <v>1</v>
      </c>
      <c r="I208" s="2" t="s">
        <v>551</v>
      </c>
      <c r="J208" s="24">
        <v>1</v>
      </c>
      <c r="K208" s="32">
        <f>VLOOKUP(E208,照明設備稼働時間!$A$4:$E$31,5,FALSE)</f>
        <v>2299</v>
      </c>
      <c r="L208" s="32" t="str">
        <f t="shared" si="6"/>
        <v>FHF32W1階段灯　非常灯付</v>
      </c>
      <c r="M208" s="14">
        <f>VLOOKUP(L208,照明器具一覧!$B$4:$F$129,5,FALSE)</f>
        <v>36</v>
      </c>
      <c r="N208" s="14">
        <v>1</v>
      </c>
      <c r="O208" s="142">
        <f t="shared" si="7"/>
        <v>82.763999999999996</v>
      </c>
    </row>
    <row r="209" spans="1:15">
      <c r="A209" s="2" t="s">
        <v>830</v>
      </c>
      <c r="B209" s="78" t="s">
        <v>1499</v>
      </c>
      <c r="C209" s="48" t="s">
        <v>283</v>
      </c>
      <c r="D209" s="29" t="s">
        <v>344</v>
      </c>
      <c r="E209" s="29" t="s">
        <v>1508</v>
      </c>
      <c r="F209" s="49" t="s">
        <v>65</v>
      </c>
      <c r="G209" s="50" t="s">
        <v>21</v>
      </c>
      <c r="H209" s="5">
        <v>1</v>
      </c>
      <c r="I209" s="2" t="s">
        <v>302</v>
      </c>
      <c r="J209" s="24">
        <v>2</v>
      </c>
      <c r="K209" s="32">
        <f>VLOOKUP(E209,照明設備稼働時間!$A$4:$E$31,5,FALSE)</f>
        <v>8760</v>
      </c>
      <c r="L209" s="32" t="str">
        <f t="shared" si="6"/>
        <v>FHF32W1埋込W190</v>
      </c>
      <c r="M209" s="14">
        <f>VLOOKUP(L209,照明器具一覧!$B$4:$F$129,5,FALSE)</f>
        <v>36</v>
      </c>
      <c r="N209" s="14">
        <v>1</v>
      </c>
      <c r="O209" s="142">
        <f t="shared" si="7"/>
        <v>630.72</v>
      </c>
    </row>
    <row r="210" spans="1:15">
      <c r="A210" s="77" t="s">
        <v>831</v>
      </c>
      <c r="B210" s="78" t="s">
        <v>1499</v>
      </c>
      <c r="C210" s="48"/>
      <c r="D210" s="29" t="s">
        <v>344</v>
      </c>
      <c r="E210" s="29" t="s">
        <v>1508</v>
      </c>
      <c r="F210" s="49" t="s">
        <v>65</v>
      </c>
      <c r="G210" s="50" t="s">
        <v>373</v>
      </c>
      <c r="H210" s="5">
        <v>1</v>
      </c>
      <c r="I210" s="2" t="s">
        <v>73</v>
      </c>
      <c r="J210" s="24">
        <v>1</v>
      </c>
      <c r="K210" s="32">
        <f>VLOOKUP(E210,照明設備稼働時間!$A$4:$E$31,5,FALSE)</f>
        <v>8760</v>
      </c>
      <c r="L210" s="32" t="str">
        <f t="shared" si="6"/>
        <v>IL60W1ダウンライト</v>
      </c>
      <c r="M210" s="14">
        <f>VLOOKUP(L210,照明器具一覧!$B$4:$F$129,5,FALSE)</f>
        <v>60</v>
      </c>
      <c r="N210" s="14">
        <v>1</v>
      </c>
      <c r="O210" s="142">
        <f t="shared" si="7"/>
        <v>525.6</v>
      </c>
    </row>
    <row r="211" spans="1:15">
      <c r="A211" s="2" t="s">
        <v>832</v>
      </c>
      <c r="B211" s="78" t="s">
        <v>1498</v>
      </c>
      <c r="C211" s="48"/>
      <c r="D211" s="29" t="s">
        <v>344</v>
      </c>
      <c r="E211" s="29" t="s">
        <v>601</v>
      </c>
      <c r="F211" s="49" t="s">
        <v>471</v>
      </c>
      <c r="G211" s="50" t="s">
        <v>500</v>
      </c>
      <c r="H211" s="5">
        <v>1</v>
      </c>
      <c r="I211" s="2" t="s">
        <v>470</v>
      </c>
      <c r="J211" s="24">
        <v>1</v>
      </c>
      <c r="K211" s="32">
        <f>VLOOKUP(E211,照明設備稼働時間!$A$4:$E$31,5,FALSE)</f>
        <v>2299</v>
      </c>
      <c r="L211" s="32" t="str">
        <f t="shared" si="6"/>
        <v>LED1投光器</v>
      </c>
      <c r="M211" s="14">
        <f>VLOOKUP(L211,照明器具一覧!$B$4:$F$129,5,FALSE)</f>
        <v>100</v>
      </c>
      <c r="N211" s="14">
        <v>1</v>
      </c>
      <c r="O211" s="142">
        <f t="shared" si="7"/>
        <v>229.9</v>
      </c>
    </row>
    <row r="212" spans="1:15">
      <c r="A212" s="77" t="s">
        <v>833</v>
      </c>
      <c r="B212" s="78" t="s">
        <v>1498</v>
      </c>
      <c r="C212" s="48"/>
      <c r="D212" s="29" t="s">
        <v>344</v>
      </c>
      <c r="E212" s="29" t="s">
        <v>601</v>
      </c>
      <c r="F212" s="49" t="s">
        <v>545</v>
      </c>
      <c r="G212" s="50" t="s">
        <v>75</v>
      </c>
      <c r="H212" s="5">
        <v>1</v>
      </c>
      <c r="I212" s="2" t="s">
        <v>73</v>
      </c>
      <c r="J212" s="24">
        <v>6</v>
      </c>
      <c r="K212" s="32">
        <f>VLOOKUP(E212,照明設備稼働時間!$A$4:$E$31,5,FALSE)</f>
        <v>2299</v>
      </c>
      <c r="L212" s="32" t="str">
        <f t="shared" si="6"/>
        <v>LED1ダウンライト</v>
      </c>
      <c r="M212" s="14">
        <f>VLOOKUP(L212,照明器具一覧!$B$4:$F$129,5,FALSE)</f>
        <v>15</v>
      </c>
      <c r="N212" s="14">
        <v>1</v>
      </c>
      <c r="O212" s="142">
        <f t="shared" si="7"/>
        <v>206.91</v>
      </c>
    </row>
    <row r="213" spans="1:15">
      <c r="A213" s="2" t="s">
        <v>834</v>
      </c>
      <c r="B213" s="78" t="s">
        <v>1499</v>
      </c>
      <c r="C213" s="48" t="s">
        <v>295</v>
      </c>
      <c r="D213" s="29" t="s">
        <v>344</v>
      </c>
      <c r="E213" s="29" t="s">
        <v>600</v>
      </c>
      <c r="F213" s="49" t="s">
        <v>359</v>
      </c>
      <c r="G213" s="50" t="s">
        <v>21</v>
      </c>
      <c r="H213" s="5">
        <v>2</v>
      </c>
      <c r="I213" s="2" t="s">
        <v>308</v>
      </c>
      <c r="J213" s="24">
        <v>3</v>
      </c>
      <c r="K213" s="32">
        <f>VLOOKUP(E213,照明設備稼働時間!$A$4:$E$31,5,FALSE)</f>
        <v>2299</v>
      </c>
      <c r="L213" s="32" t="str">
        <f t="shared" si="6"/>
        <v>FHF32W2埋込W300</v>
      </c>
      <c r="M213" s="14">
        <f>VLOOKUP(L213,照明器具一覧!$B$4:$F$129,5,FALSE)</f>
        <v>71</v>
      </c>
      <c r="N213" s="14">
        <v>1</v>
      </c>
      <c r="O213" s="142">
        <f t="shared" si="7"/>
        <v>489.68700000000001</v>
      </c>
    </row>
    <row r="214" spans="1:15">
      <c r="A214" s="77" t="s">
        <v>835</v>
      </c>
      <c r="B214" s="78" t="s">
        <v>1499</v>
      </c>
      <c r="C214" s="48" t="s">
        <v>283</v>
      </c>
      <c r="D214" s="29" t="s">
        <v>344</v>
      </c>
      <c r="E214" s="29" t="s">
        <v>600</v>
      </c>
      <c r="F214" s="49" t="s">
        <v>359</v>
      </c>
      <c r="G214" s="50" t="s">
        <v>384</v>
      </c>
      <c r="H214" s="5">
        <v>2</v>
      </c>
      <c r="I214" s="2" t="s">
        <v>378</v>
      </c>
      <c r="J214" s="24">
        <v>2</v>
      </c>
      <c r="K214" s="32">
        <f>VLOOKUP(E214,照明設備稼働時間!$A$4:$E$31,5,FALSE)</f>
        <v>2299</v>
      </c>
      <c r="L214" s="32" t="str">
        <f t="shared" si="6"/>
        <v>FHF32W2直付下面開放</v>
      </c>
      <c r="M214" s="14">
        <f>VLOOKUP(L214,照明器具一覧!$B$4:$F$129,5,FALSE)</f>
        <v>72</v>
      </c>
      <c r="N214" s="14">
        <v>1</v>
      </c>
      <c r="O214" s="142">
        <f t="shared" si="7"/>
        <v>331.05599999999998</v>
      </c>
    </row>
    <row r="215" spans="1:15">
      <c r="A215" s="2" t="s">
        <v>836</v>
      </c>
      <c r="B215" s="78" t="s">
        <v>1499</v>
      </c>
      <c r="C215" s="48" t="s">
        <v>287</v>
      </c>
      <c r="D215" s="29" t="s">
        <v>344</v>
      </c>
      <c r="E215" s="29" t="s">
        <v>600</v>
      </c>
      <c r="F215" s="49" t="s">
        <v>355</v>
      </c>
      <c r="G215" s="50" t="s">
        <v>21</v>
      </c>
      <c r="H215" s="5">
        <v>2</v>
      </c>
      <c r="I215" s="2" t="s">
        <v>305</v>
      </c>
      <c r="J215" s="24">
        <v>37</v>
      </c>
      <c r="K215" s="32">
        <f>VLOOKUP(E215,照明設備稼働時間!$A$4:$E$31,5,FALSE)</f>
        <v>2299</v>
      </c>
      <c r="L215" s="32" t="str">
        <f t="shared" si="6"/>
        <v>FHF32W2システム天井</v>
      </c>
      <c r="M215" s="14">
        <f>VLOOKUP(L215,照明器具一覧!$B$4:$F$129,5,FALSE)</f>
        <v>72</v>
      </c>
      <c r="N215" s="14">
        <v>1</v>
      </c>
      <c r="O215" s="142">
        <f t="shared" si="7"/>
        <v>6124.5360000000001</v>
      </c>
    </row>
    <row r="216" spans="1:15">
      <c r="A216" s="77" t="s">
        <v>837</v>
      </c>
      <c r="B216" s="78" t="s">
        <v>1499</v>
      </c>
      <c r="C216" s="48" t="s">
        <v>290</v>
      </c>
      <c r="D216" s="29" t="s">
        <v>344</v>
      </c>
      <c r="E216" s="29" t="s">
        <v>600</v>
      </c>
      <c r="F216" s="49" t="s">
        <v>355</v>
      </c>
      <c r="G216" s="50" t="s">
        <v>21</v>
      </c>
      <c r="H216" s="5">
        <v>1</v>
      </c>
      <c r="I216" s="2" t="s">
        <v>89</v>
      </c>
      <c r="J216" s="24">
        <v>8</v>
      </c>
      <c r="K216" s="32">
        <f>VLOOKUP(E216,照明設備稼働時間!$A$4:$E$31,5,FALSE)</f>
        <v>2299</v>
      </c>
      <c r="L216" s="32" t="str">
        <f t="shared" si="6"/>
        <v>FHF32W1トラフ</v>
      </c>
      <c r="M216" s="14">
        <f>VLOOKUP(L216,照明器具一覧!$B$4:$F$129,5,FALSE)</f>
        <v>36</v>
      </c>
      <c r="N216" s="14">
        <v>1</v>
      </c>
      <c r="O216" s="142">
        <f t="shared" si="7"/>
        <v>662.11199999999997</v>
      </c>
    </row>
    <row r="217" spans="1:15">
      <c r="A217" s="2" t="s">
        <v>838</v>
      </c>
      <c r="B217" s="78" t="s">
        <v>1499</v>
      </c>
      <c r="C217" s="48" t="s">
        <v>372</v>
      </c>
      <c r="D217" s="29" t="s">
        <v>344</v>
      </c>
      <c r="E217" s="29" t="s">
        <v>600</v>
      </c>
      <c r="F217" s="49" t="s">
        <v>360</v>
      </c>
      <c r="G217" s="50" t="s">
        <v>21</v>
      </c>
      <c r="H217" s="5">
        <v>6</v>
      </c>
      <c r="I217" s="2" t="s">
        <v>379</v>
      </c>
      <c r="J217" s="24">
        <v>2</v>
      </c>
      <c r="K217" s="32">
        <f>VLOOKUP(E217,照明設備稼働時間!$A$4:$E$31,5,FALSE)</f>
        <v>2299</v>
      </c>
      <c r="L217" s="32" t="str">
        <f t="shared" si="6"/>
        <v>FHF32W6スクエア</v>
      </c>
      <c r="M217" s="14">
        <f>VLOOKUP(L217,照明器具一覧!$B$4:$F$129,5,FALSE)</f>
        <v>213</v>
      </c>
      <c r="N217" s="14">
        <v>1</v>
      </c>
      <c r="O217" s="142">
        <f t="shared" si="7"/>
        <v>979.37400000000002</v>
      </c>
    </row>
    <row r="218" spans="1:15">
      <c r="A218" s="77" t="s">
        <v>839</v>
      </c>
      <c r="B218" s="78" t="s">
        <v>1499</v>
      </c>
      <c r="C218" s="48" t="s">
        <v>282</v>
      </c>
      <c r="D218" s="29" t="s">
        <v>344</v>
      </c>
      <c r="E218" s="29" t="s">
        <v>606</v>
      </c>
      <c r="F218" s="49" t="s">
        <v>361</v>
      </c>
      <c r="G218" s="50" t="s">
        <v>21</v>
      </c>
      <c r="H218" s="5">
        <v>1</v>
      </c>
      <c r="I218" s="2" t="s">
        <v>301</v>
      </c>
      <c r="J218" s="24">
        <v>2</v>
      </c>
      <c r="K218" s="32">
        <f>VLOOKUP(E218,照明設備稼働時間!$A$4:$E$31,5,FALSE)</f>
        <v>242</v>
      </c>
      <c r="L218" s="32" t="str">
        <f t="shared" si="6"/>
        <v>FHF32W1逆富士</v>
      </c>
      <c r="M218" s="14">
        <f>VLOOKUP(L218,照明器具一覧!$B$4:$F$129,5,FALSE)</f>
        <v>36</v>
      </c>
      <c r="N218" s="14">
        <v>1</v>
      </c>
      <c r="O218" s="142">
        <f t="shared" si="7"/>
        <v>17.423999999999999</v>
      </c>
    </row>
    <row r="219" spans="1:15">
      <c r="A219" s="2" t="s">
        <v>840</v>
      </c>
      <c r="B219" s="78" t="s">
        <v>1499</v>
      </c>
      <c r="C219" s="48" t="s">
        <v>287</v>
      </c>
      <c r="D219" s="29" t="s">
        <v>344</v>
      </c>
      <c r="E219" s="29" t="s">
        <v>600</v>
      </c>
      <c r="F219" s="49" t="s">
        <v>362</v>
      </c>
      <c r="G219" s="50" t="s">
        <v>21</v>
      </c>
      <c r="H219" s="5">
        <v>2</v>
      </c>
      <c r="I219" s="2" t="s">
        <v>305</v>
      </c>
      <c r="J219" s="24">
        <v>16</v>
      </c>
      <c r="K219" s="32">
        <f>VLOOKUP(E219,照明設備稼働時間!$A$4:$E$31,5,FALSE)</f>
        <v>2299</v>
      </c>
      <c r="L219" s="32" t="str">
        <f t="shared" si="6"/>
        <v>FHF32W2システム天井</v>
      </c>
      <c r="M219" s="14">
        <f>VLOOKUP(L219,照明器具一覧!$B$4:$F$129,5,FALSE)</f>
        <v>72</v>
      </c>
      <c r="N219" s="14">
        <v>1</v>
      </c>
      <c r="O219" s="142">
        <f t="shared" si="7"/>
        <v>2648.4479999999999</v>
      </c>
    </row>
    <row r="220" spans="1:15">
      <c r="A220" s="77" t="s">
        <v>841</v>
      </c>
      <c r="B220" s="78" t="s">
        <v>1499</v>
      </c>
      <c r="C220" s="48" t="s">
        <v>288</v>
      </c>
      <c r="D220" s="29" t="s">
        <v>344</v>
      </c>
      <c r="E220" s="29" t="s">
        <v>600</v>
      </c>
      <c r="F220" s="49" t="s">
        <v>362</v>
      </c>
      <c r="G220" s="50" t="s">
        <v>19</v>
      </c>
      <c r="H220" s="5">
        <v>2</v>
      </c>
      <c r="I220" s="2" t="s">
        <v>305</v>
      </c>
      <c r="J220" s="24">
        <v>4</v>
      </c>
      <c r="K220" s="32">
        <f>VLOOKUP(E220,照明設備稼働時間!$A$4:$E$31,5,FALSE)</f>
        <v>2299</v>
      </c>
      <c r="L220" s="32" t="str">
        <f t="shared" si="6"/>
        <v>FHF16W2システム天井</v>
      </c>
      <c r="M220" s="14">
        <f>VLOOKUP(L220,照明器具一覧!$B$4:$F$129,5,FALSE)</f>
        <v>26</v>
      </c>
      <c r="N220" s="14">
        <v>1</v>
      </c>
      <c r="O220" s="142">
        <f t="shared" si="7"/>
        <v>239.096</v>
      </c>
    </row>
    <row r="221" spans="1:15">
      <c r="A221" s="2" t="s">
        <v>842</v>
      </c>
      <c r="B221" s="78" t="s">
        <v>1499</v>
      </c>
      <c r="C221" s="48"/>
      <c r="D221" s="29" t="s">
        <v>344</v>
      </c>
      <c r="E221" s="29" t="s">
        <v>600</v>
      </c>
      <c r="F221" s="49" t="s">
        <v>362</v>
      </c>
      <c r="G221" s="50" t="s">
        <v>384</v>
      </c>
      <c r="H221" s="5">
        <v>2</v>
      </c>
      <c r="I221" s="2" t="s">
        <v>378</v>
      </c>
      <c r="J221" s="24">
        <v>3</v>
      </c>
      <c r="K221" s="32">
        <f>VLOOKUP(E221,照明設備稼働時間!$A$4:$E$31,5,FALSE)</f>
        <v>2299</v>
      </c>
      <c r="L221" s="32" t="str">
        <f t="shared" si="6"/>
        <v>FHF32W2直付下面開放</v>
      </c>
      <c r="M221" s="14">
        <f>VLOOKUP(L221,照明器具一覧!$B$4:$F$129,5,FALSE)</f>
        <v>72</v>
      </c>
      <c r="N221" s="14">
        <v>1</v>
      </c>
      <c r="O221" s="142">
        <f t="shared" si="7"/>
        <v>496.584</v>
      </c>
    </row>
    <row r="222" spans="1:15">
      <c r="A222" s="77" t="s">
        <v>843</v>
      </c>
      <c r="B222" s="78" t="s">
        <v>1499</v>
      </c>
      <c r="C222" s="48" t="s">
        <v>287</v>
      </c>
      <c r="D222" s="29" t="s">
        <v>344</v>
      </c>
      <c r="E222" s="29" t="s">
        <v>600</v>
      </c>
      <c r="F222" s="49" t="s">
        <v>363</v>
      </c>
      <c r="G222" s="50" t="s">
        <v>384</v>
      </c>
      <c r="H222" s="5">
        <v>2</v>
      </c>
      <c r="I222" s="50" t="s">
        <v>281</v>
      </c>
      <c r="J222" s="24">
        <v>6</v>
      </c>
      <c r="K222" s="32">
        <f>VLOOKUP(E222,照明設備稼働時間!$A$4:$E$31,5,FALSE)</f>
        <v>2299</v>
      </c>
      <c r="L222" s="32" t="str">
        <f t="shared" si="6"/>
        <v>FHF32W2システム天井</v>
      </c>
      <c r="M222" s="14">
        <f>VLOOKUP(L222,照明器具一覧!$B$4:$F$129,5,FALSE)</f>
        <v>72</v>
      </c>
      <c r="N222" s="14">
        <v>1</v>
      </c>
      <c r="O222" s="142">
        <f t="shared" si="7"/>
        <v>993.16800000000001</v>
      </c>
    </row>
    <row r="223" spans="1:15">
      <c r="A223" s="2" t="s">
        <v>844</v>
      </c>
      <c r="B223" s="78" t="s">
        <v>1499</v>
      </c>
      <c r="C223" s="48"/>
      <c r="D223" s="29" t="s">
        <v>345</v>
      </c>
      <c r="E223" s="29" t="s">
        <v>600</v>
      </c>
      <c r="F223" s="49" t="s">
        <v>544</v>
      </c>
      <c r="G223" s="50" t="s">
        <v>21</v>
      </c>
      <c r="H223" s="5">
        <v>2</v>
      </c>
      <c r="I223" s="50" t="s">
        <v>165</v>
      </c>
      <c r="J223" s="24">
        <v>1</v>
      </c>
      <c r="K223" s="32">
        <f>VLOOKUP(E223,照明設備稼働時間!$A$4:$E$31,5,FALSE)</f>
        <v>2299</v>
      </c>
      <c r="L223" s="32" t="str">
        <f t="shared" si="6"/>
        <v>FHF32W2表示灯</v>
      </c>
      <c r="M223" s="14">
        <f>VLOOKUP(L223,照明器具一覧!$B$4:$F$129,5,FALSE)</f>
        <v>72</v>
      </c>
      <c r="N223" s="14">
        <v>1</v>
      </c>
      <c r="O223" s="142">
        <f t="shared" si="7"/>
        <v>165.52799999999999</v>
      </c>
    </row>
    <row r="224" spans="1:15">
      <c r="A224" s="77" t="s">
        <v>845</v>
      </c>
      <c r="B224" s="78" t="s">
        <v>1499</v>
      </c>
      <c r="C224" s="48" t="s">
        <v>287</v>
      </c>
      <c r="D224" s="29" t="s">
        <v>344</v>
      </c>
      <c r="E224" s="29" t="s">
        <v>600</v>
      </c>
      <c r="F224" s="49" t="s">
        <v>364</v>
      </c>
      <c r="G224" s="50" t="s">
        <v>384</v>
      </c>
      <c r="H224" s="5">
        <v>2</v>
      </c>
      <c r="I224" s="50" t="s">
        <v>281</v>
      </c>
      <c r="J224" s="24">
        <v>6</v>
      </c>
      <c r="K224" s="32">
        <f>VLOOKUP(E224,照明設備稼働時間!$A$4:$E$31,5,FALSE)</f>
        <v>2299</v>
      </c>
      <c r="L224" s="32" t="str">
        <f t="shared" si="6"/>
        <v>FHF32W2システム天井</v>
      </c>
      <c r="M224" s="14">
        <f>VLOOKUP(L224,照明器具一覧!$B$4:$F$129,5,FALSE)</f>
        <v>72</v>
      </c>
      <c r="N224" s="14">
        <v>1</v>
      </c>
      <c r="O224" s="142">
        <f t="shared" si="7"/>
        <v>993.16800000000001</v>
      </c>
    </row>
    <row r="225" spans="1:15">
      <c r="A225" s="2" t="s">
        <v>846</v>
      </c>
      <c r="B225" s="78" t="s">
        <v>1499</v>
      </c>
      <c r="C225" s="48" t="s">
        <v>287</v>
      </c>
      <c r="D225" s="29" t="s">
        <v>344</v>
      </c>
      <c r="E225" s="29" t="s">
        <v>600</v>
      </c>
      <c r="F225" s="49" t="s">
        <v>365</v>
      </c>
      <c r="G225" s="50" t="s">
        <v>384</v>
      </c>
      <c r="H225" s="5">
        <v>2</v>
      </c>
      <c r="I225" s="50" t="s">
        <v>281</v>
      </c>
      <c r="J225" s="24">
        <v>3</v>
      </c>
      <c r="K225" s="32">
        <f>VLOOKUP(E225,照明設備稼働時間!$A$4:$E$31,5,FALSE)</f>
        <v>2299</v>
      </c>
      <c r="L225" s="32" t="str">
        <f t="shared" si="6"/>
        <v>FHF32W2システム天井</v>
      </c>
      <c r="M225" s="14">
        <f>VLOOKUP(L225,照明器具一覧!$B$4:$F$129,5,FALSE)</f>
        <v>72</v>
      </c>
      <c r="N225" s="14">
        <v>1</v>
      </c>
      <c r="O225" s="142">
        <f t="shared" si="7"/>
        <v>496.584</v>
      </c>
    </row>
    <row r="226" spans="1:15">
      <c r="A226" s="77" t="s">
        <v>847</v>
      </c>
      <c r="B226" s="78" t="s">
        <v>1499</v>
      </c>
      <c r="C226" s="48" t="s">
        <v>287</v>
      </c>
      <c r="D226" s="29" t="s">
        <v>344</v>
      </c>
      <c r="E226" s="29" t="s">
        <v>600</v>
      </c>
      <c r="F226" s="49" t="s">
        <v>366</v>
      </c>
      <c r="G226" s="50" t="s">
        <v>384</v>
      </c>
      <c r="H226" s="5">
        <v>2</v>
      </c>
      <c r="I226" s="50" t="s">
        <v>281</v>
      </c>
      <c r="J226" s="24">
        <v>2</v>
      </c>
      <c r="K226" s="32">
        <f>VLOOKUP(E226,照明設備稼働時間!$A$4:$E$31,5,FALSE)</f>
        <v>2299</v>
      </c>
      <c r="L226" s="32" t="str">
        <f t="shared" si="6"/>
        <v>FHF32W2システム天井</v>
      </c>
      <c r="M226" s="14">
        <f>VLOOKUP(L226,照明器具一覧!$B$4:$F$129,5,FALSE)</f>
        <v>72</v>
      </c>
      <c r="N226" s="14">
        <v>1</v>
      </c>
      <c r="O226" s="142">
        <f t="shared" si="7"/>
        <v>331.05599999999998</v>
      </c>
    </row>
    <row r="227" spans="1:15">
      <c r="A227" s="2" t="s">
        <v>848</v>
      </c>
      <c r="B227" s="78" t="s">
        <v>1499</v>
      </c>
      <c r="C227" s="48" t="s">
        <v>287</v>
      </c>
      <c r="D227" s="29" t="s">
        <v>344</v>
      </c>
      <c r="E227" s="29" t="s">
        <v>600</v>
      </c>
      <c r="F227" s="49" t="s">
        <v>367</v>
      </c>
      <c r="G227" s="50" t="s">
        <v>384</v>
      </c>
      <c r="H227" s="5">
        <v>2</v>
      </c>
      <c r="I227" s="50" t="s">
        <v>281</v>
      </c>
      <c r="J227" s="24">
        <v>7</v>
      </c>
      <c r="K227" s="32">
        <f>VLOOKUP(E227,照明設備稼働時間!$A$4:$E$31,5,FALSE)</f>
        <v>2299</v>
      </c>
      <c r="L227" s="32" t="str">
        <f t="shared" si="6"/>
        <v>FHF32W2システム天井</v>
      </c>
      <c r="M227" s="14">
        <f>VLOOKUP(L227,照明器具一覧!$B$4:$F$129,5,FALSE)</f>
        <v>72</v>
      </c>
      <c r="N227" s="14">
        <v>1</v>
      </c>
      <c r="O227" s="142">
        <f t="shared" si="7"/>
        <v>1158.6959999999999</v>
      </c>
    </row>
    <row r="228" spans="1:15">
      <c r="A228" s="77" t="s">
        <v>849</v>
      </c>
      <c r="B228" s="78" t="s">
        <v>1499</v>
      </c>
      <c r="C228" s="48" t="s">
        <v>288</v>
      </c>
      <c r="D228" s="29" t="s">
        <v>344</v>
      </c>
      <c r="E228" s="29" t="s">
        <v>600</v>
      </c>
      <c r="F228" s="49" t="s">
        <v>367</v>
      </c>
      <c r="G228" s="50" t="s">
        <v>19</v>
      </c>
      <c r="H228" s="5">
        <v>2</v>
      </c>
      <c r="I228" s="50" t="s">
        <v>281</v>
      </c>
      <c r="J228" s="24">
        <v>1</v>
      </c>
      <c r="K228" s="32">
        <f>VLOOKUP(E228,照明設備稼働時間!$A$4:$E$31,5,FALSE)</f>
        <v>2299</v>
      </c>
      <c r="L228" s="32" t="str">
        <f t="shared" si="6"/>
        <v>FHF16W2システム天井</v>
      </c>
      <c r="M228" s="14">
        <f>VLOOKUP(L228,照明器具一覧!$B$4:$F$129,5,FALSE)</f>
        <v>26</v>
      </c>
      <c r="N228" s="14">
        <v>1</v>
      </c>
      <c r="O228" s="142">
        <f t="shared" si="7"/>
        <v>59.774000000000001</v>
      </c>
    </row>
    <row r="229" spans="1:15">
      <c r="A229" s="2" t="s">
        <v>850</v>
      </c>
      <c r="B229" s="78" t="s">
        <v>1499</v>
      </c>
      <c r="C229" s="48" t="s">
        <v>287</v>
      </c>
      <c r="D229" s="29" t="s">
        <v>344</v>
      </c>
      <c r="E229" s="29" t="s">
        <v>600</v>
      </c>
      <c r="F229" s="49" t="s">
        <v>368</v>
      </c>
      <c r="G229" s="50" t="s">
        <v>384</v>
      </c>
      <c r="H229" s="5">
        <v>2</v>
      </c>
      <c r="I229" s="50" t="s">
        <v>281</v>
      </c>
      <c r="J229" s="24">
        <v>2</v>
      </c>
      <c r="K229" s="32">
        <f>VLOOKUP(E229,照明設備稼働時間!$A$4:$E$31,5,FALSE)</f>
        <v>2299</v>
      </c>
      <c r="L229" s="32" t="str">
        <f t="shared" si="6"/>
        <v>FHF32W2システム天井</v>
      </c>
      <c r="M229" s="14">
        <f>VLOOKUP(L229,照明器具一覧!$B$4:$F$129,5,FALSE)</f>
        <v>72</v>
      </c>
      <c r="N229" s="14">
        <v>1</v>
      </c>
      <c r="O229" s="142">
        <f t="shared" si="7"/>
        <v>331.05599999999998</v>
      </c>
    </row>
    <row r="230" spans="1:15">
      <c r="A230" s="77" t="s">
        <v>851</v>
      </c>
      <c r="B230" s="78" t="s">
        <v>1499</v>
      </c>
      <c r="C230" s="29" t="s">
        <v>68</v>
      </c>
      <c r="D230" s="29" t="s">
        <v>344</v>
      </c>
      <c r="E230" s="29" t="s">
        <v>77</v>
      </c>
      <c r="F230" s="29" t="s">
        <v>57</v>
      </c>
      <c r="G230" s="29" t="s">
        <v>98</v>
      </c>
      <c r="H230" s="5">
        <v>1</v>
      </c>
      <c r="I230" s="2" t="s">
        <v>594</v>
      </c>
      <c r="J230" s="29">
        <v>1</v>
      </c>
      <c r="K230" s="32">
        <f>VLOOKUP(E230,照明設備稼働時間!$A$4:$E$31,5,FALSE)</f>
        <v>8760</v>
      </c>
      <c r="L230" s="32" t="str">
        <f t="shared" si="6"/>
        <v>CF2W1誘導灯C級片面</v>
      </c>
      <c r="M230" s="14">
        <f>VLOOKUP(L230,照明器具一覧!$B$4:$F$129,5,FALSE)</f>
        <v>4</v>
      </c>
      <c r="N230" s="14">
        <v>1</v>
      </c>
      <c r="O230" s="142">
        <f t="shared" si="7"/>
        <v>35.04</v>
      </c>
    </row>
    <row r="231" spans="1:15">
      <c r="A231" s="2" t="s">
        <v>852</v>
      </c>
      <c r="B231" s="78" t="s">
        <v>1499</v>
      </c>
      <c r="C231" s="29" t="s">
        <v>67</v>
      </c>
      <c r="D231" s="29" t="s">
        <v>344</v>
      </c>
      <c r="E231" s="29" t="s">
        <v>77</v>
      </c>
      <c r="F231" s="29" t="s">
        <v>36</v>
      </c>
      <c r="G231" s="29" t="s">
        <v>97</v>
      </c>
      <c r="H231" s="5">
        <v>1</v>
      </c>
      <c r="I231" s="2" t="s">
        <v>594</v>
      </c>
      <c r="J231" s="29">
        <v>1</v>
      </c>
      <c r="K231" s="32">
        <f>VLOOKUP(E231,照明設備稼働時間!$A$4:$E$31,5,FALSE)</f>
        <v>8760</v>
      </c>
      <c r="L231" s="32" t="str">
        <f t="shared" si="6"/>
        <v>CF2.2W1誘導灯C級片面</v>
      </c>
      <c r="M231" s="14">
        <f>VLOOKUP(L231,照明器具一覧!$B$4:$F$129,5,FALSE)</f>
        <v>4</v>
      </c>
      <c r="N231" s="14">
        <v>1</v>
      </c>
      <c r="O231" s="142">
        <f t="shared" si="7"/>
        <v>35.04</v>
      </c>
    </row>
    <row r="232" spans="1:15">
      <c r="A232" s="77" t="s">
        <v>853</v>
      </c>
      <c r="B232" s="78" t="s">
        <v>1499</v>
      </c>
      <c r="C232" s="29" t="s">
        <v>68</v>
      </c>
      <c r="D232" s="29" t="s">
        <v>344</v>
      </c>
      <c r="E232" s="29" t="s">
        <v>77</v>
      </c>
      <c r="F232" s="29" t="s">
        <v>45</v>
      </c>
      <c r="G232" s="29" t="s">
        <v>98</v>
      </c>
      <c r="H232" s="5">
        <v>1</v>
      </c>
      <c r="I232" s="2" t="s">
        <v>594</v>
      </c>
      <c r="J232" s="29">
        <v>1</v>
      </c>
      <c r="K232" s="32">
        <f>VLOOKUP(E232,照明設備稼働時間!$A$4:$E$31,5,FALSE)</f>
        <v>8760</v>
      </c>
      <c r="L232" s="32" t="str">
        <f t="shared" si="6"/>
        <v>CF2W1誘導灯C級片面</v>
      </c>
      <c r="M232" s="14">
        <f>VLOOKUP(L232,照明器具一覧!$B$4:$F$129,5,FALSE)</f>
        <v>4</v>
      </c>
      <c r="N232" s="14">
        <v>1</v>
      </c>
      <c r="O232" s="142">
        <f t="shared" si="7"/>
        <v>35.04</v>
      </c>
    </row>
    <row r="233" spans="1:15">
      <c r="A233" s="2" t="s">
        <v>854</v>
      </c>
      <c r="B233" s="78" t="s">
        <v>1499</v>
      </c>
      <c r="C233" s="29" t="s">
        <v>67</v>
      </c>
      <c r="D233" s="29" t="s">
        <v>344</v>
      </c>
      <c r="E233" s="29" t="s">
        <v>77</v>
      </c>
      <c r="F233" s="29" t="s">
        <v>46</v>
      </c>
      <c r="G233" s="29" t="s">
        <v>97</v>
      </c>
      <c r="H233" s="5">
        <v>1</v>
      </c>
      <c r="I233" s="2" t="s">
        <v>594</v>
      </c>
      <c r="J233" s="29">
        <v>1</v>
      </c>
      <c r="K233" s="32">
        <f>VLOOKUP(E233,照明設備稼働時間!$A$4:$E$31,5,FALSE)</f>
        <v>8760</v>
      </c>
      <c r="L233" s="32" t="str">
        <f t="shared" si="6"/>
        <v>CF2.2W1誘導灯C級片面</v>
      </c>
      <c r="M233" s="14">
        <f>VLOOKUP(L233,照明器具一覧!$B$4:$F$129,5,FALSE)</f>
        <v>4</v>
      </c>
      <c r="N233" s="14">
        <v>1</v>
      </c>
      <c r="O233" s="142">
        <f t="shared" si="7"/>
        <v>35.04</v>
      </c>
    </row>
    <row r="234" spans="1:15">
      <c r="A234" s="77" t="s">
        <v>855</v>
      </c>
      <c r="B234" s="78" t="s">
        <v>1499</v>
      </c>
      <c r="C234" s="29" t="s">
        <v>68</v>
      </c>
      <c r="D234" s="29" t="s">
        <v>344</v>
      </c>
      <c r="E234" s="29" t="s">
        <v>77</v>
      </c>
      <c r="F234" s="29" t="s">
        <v>65</v>
      </c>
      <c r="G234" s="29" t="s">
        <v>98</v>
      </c>
      <c r="H234" s="5">
        <v>1</v>
      </c>
      <c r="I234" s="2" t="s">
        <v>594</v>
      </c>
      <c r="J234" s="29">
        <v>1</v>
      </c>
      <c r="K234" s="32">
        <f>VLOOKUP(E234,照明設備稼働時間!$A$4:$E$31,5,FALSE)</f>
        <v>8760</v>
      </c>
      <c r="L234" s="32" t="str">
        <f t="shared" si="6"/>
        <v>CF2W1誘導灯C級片面</v>
      </c>
      <c r="M234" s="14">
        <f>VLOOKUP(L234,照明器具一覧!$B$4:$F$129,5,FALSE)</f>
        <v>4</v>
      </c>
      <c r="N234" s="14">
        <v>1</v>
      </c>
      <c r="O234" s="142">
        <f t="shared" si="7"/>
        <v>35.04</v>
      </c>
    </row>
    <row r="235" spans="1:15">
      <c r="A235" s="2" t="s">
        <v>856</v>
      </c>
      <c r="B235" s="78" t="s">
        <v>1499</v>
      </c>
      <c r="C235" s="29" t="s">
        <v>67</v>
      </c>
      <c r="D235" s="29" t="s">
        <v>344</v>
      </c>
      <c r="E235" s="29" t="s">
        <v>77</v>
      </c>
      <c r="F235" s="29" t="s">
        <v>50</v>
      </c>
      <c r="G235" s="29" t="s">
        <v>97</v>
      </c>
      <c r="H235" s="5">
        <v>1</v>
      </c>
      <c r="I235" s="2" t="s">
        <v>594</v>
      </c>
      <c r="J235" s="29">
        <v>1</v>
      </c>
      <c r="K235" s="32">
        <f>VLOOKUP(E235,照明設備稼働時間!$A$4:$E$31,5,FALSE)</f>
        <v>8760</v>
      </c>
      <c r="L235" s="32" t="str">
        <f t="shared" si="6"/>
        <v>CF2.2W1誘導灯C級片面</v>
      </c>
      <c r="M235" s="14">
        <f>VLOOKUP(L235,照明器具一覧!$B$4:$F$129,5,FALSE)</f>
        <v>4</v>
      </c>
      <c r="N235" s="14">
        <v>1</v>
      </c>
      <c r="O235" s="142">
        <f t="shared" si="7"/>
        <v>35.04</v>
      </c>
    </row>
    <row r="236" spans="1:15">
      <c r="A236" s="77" t="s">
        <v>857</v>
      </c>
      <c r="B236" s="78" t="s">
        <v>1499</v>
      </c>
      <c r="C236" s="29" t="s">
        <v>68</v>
      </c>
      <c r="D236" s="29" t="s">
        <v>344</v>
      </c>
      <c r="E236" s="29" t="s">
        <v>77</v>
      </c>
      <c r="F236" s="29" t="s">
        <v>23</v>
      </c>
      <c r="G236" s="29" t="s">
        <v>98</v>
      </c>
      <c r="H236" s="5">
        <v>1</v>
      </c>
      <c r="I236" s="2" t="s">
        <v>594</v>
      </c>
      <c r="J236" s="29">
        <v>1</v>
      </c>
      <c r="K236" s="32">
        <f>VLOOKUP(E236,照明設備稼働時間!$A$4:$E$31,5,FALSE)</f>
        <v>8760</v>
      </c>
      <c r="L236" s="32" t="str">
        <f t="shared" si="6"/>
        <v>CF2W1誘導灯C級片面</v>
      </c>
      <c r="M236" s="14">
        <f>VLOOKUP(L236,照明器具一覧!$B$4:$F$129,5,FALSE)</f>
        <v>4</v>
      </c>
      <c r="N236" s="14">
        <v>1</v>
      </c>
      <c r="O236" s="142">
        <f t="shared" si="7"/>
        <v>35.04</v>
      </c>
    </row>
    <row r="237" spans="1:15">
      <c r="A237" s="2" t="s">
        <v>858</v>
      </c>
      <c r="B237" s="78" t="s">
        <v>1499</v>
      </c>
      <c r="C237" s="29" t="s">
        <v>67</v>
      </c>
      <c r="D237" s="29" t="s">
        <v>344</v>
      </c>
      <c r="E237" s="29" t="s">
        <v>77</v>
      </c>
      <c r="F237" s="29" t="s">
        <v>175</v>
      </c>
      <c r="G237" s="29" t="s">
        <v>97</v>
      </c>
      <c r="H237" s="5">
        <v>1</v>
      </c>
      <c r="I237" s="2" t="s">
        <v>594</v>
      </c>
      <c r="J237" s="29">
        <v>1</v>
      </c>
      <c r="K237" s="32">
        <f>VLOOKUP(E237,照明設備稼働時間!$A$4:$E$31,5,FALSE)</f>
        <v>8760</v>
      </c>
      <c r="L237" s="32" t="str">
        <f t="shared" si="6"/>
        <v>CF2.2W1誘導灯C級片面</v>
      </c>
      <c r="M237" s="14">
        <f>VLOOKUP(L237,照明器具一覧!$B$4:$F$129,5,FALSE)</f>
        <v>4</v>
      </c>
      <c r="N237" s="14">
        <v>1</v>
      </c>
      <c r="O237" s="142">
        <f t="shared" si="7"/>
        <v>35.04</v>
      </c>
    </row>
    <row r="238" spans="1:15">
      <c r="A238" s="77" t="s">
        <v>859</v>
      </c>
      <c r="B238" s="78" t="s">
        <v>1499</v>
      </c>
      <c r="C238" s="29" t="s">
        <v>67</v>
      </c>
      <c r="D238" s="29" t="s">
        <v>344</v>
      </c>
      <c r="E238" s="29" t="s">
        <v>77</v>
      </c>
      <c r="F238" s="29" t="s">
        <v>380</v>
      </c>
      <c r="G238" s="29" t="s">
        <v>97</v>
      </c>
      <c r="H238" s="5">
        <v>1</v>
      </c>
      <c r="I238" s="2" t="s">
        <v>594</v>
      </c>
      <c r="J238" s="29">
        <v>5</v>
      </c>
      <c r="K238" s="32">
        <f>VLOOKUP(E238,照明設備稼働時間!$A$4:$E$31,5,FALSE)</f>
        <v>8760</v>
      </c>
      <c r="L238" s="32" t="str">
        <f t="shared" si="6"/>
        <v>CF2.2W1誘導灯C級片面</v>
      </c>
      <c r="M238" s="14">
        <f>VLOOKUP(L238,照明器具一覧!$B$4:$F$129,5,FALSE)</f>
        <v>4</v>
      </c>
      <c r="N238" s="14">
        <v>1</v>
      </c>
      <c r="O238" s="142">
        <f t="shared" si="7"/>
        <v>175.2</v>
      </c>
    </row>
    <row r="239" spans="1:15">
      <c r="A239" s="2" t="s">
        <v>860</v>
      </c>
      <c r="B239" s="78" t="s">
        <v>1499</v>
      </c>
      <c r="C239" s="29" t="s">
        <v>162</v>
      </c>
      <c r="D239" s="29" t="s">
        <v>344</v>
      </c>
      <c r="E239" s="29" t="s">
        <v>77</v>
      </c>
      <c r="F239" s="29" t="s">
        <v>35</v>
      </c>
      <c r="G239" s="29" t="s">
        <v>97</v>
      </c>
      <c r="H239" s="5">
        <v>1</v>
      </c>
      <c r="I239" s="2" t="s">
        <v>595</v>
      </c>
      <c r="J239" s="29">
        <v>1</v>
      </c>
      <c r="K239" s="32">
        <f>VLOOKUP(E239,照明設備稼働時間!$A$4:$E$31,5,FALSE)</f>
        <v>8760</v>
      </c>
      <c r="L239" s="32" t="str">
        <f t="shared" si="6"/>
        <v>CF2.2W1誘導灯C級両面</v>
      </c>
      <c r="M239" s="14">
        <f>VLOOKUP(L239,照明器具一覧!$B$4:$F$129,5,FALSE)</f>
        <v>7</v>
      </c>
      <c r="N239" s="14">
        <v>1</v>
      </c>
      <c r="O239" s="142">
        <f t="shared" si="7"/>
        <v>61.32</v>
      </c>
    </row>
    <row r="240" spans="1:15">
      <c r="A240" s="77" t="s">
        <v>861</v>
      </c>
      <c r="B240" s="78" t="s">
        <v>1499</v>
      </c>
      <c r="C240" s="29" t="s">
        <v>382</v>
      </c>
      <c r="D240" s="29" t="s">
        <v>344</v>
      </c>
      <c r="E240" s="29" t="s">
        <v>77</v>
      </c>
      <c r="F240" s="29" t="s">
        <v>381</v>
      </c>
      <c r="G240" s="29" t="s">
        <v>224</v>
      </c>
      <c r="H240" s="5">
        <v>1</v>
      </c>
      <c r="I240" s="2" t="s">
        <v>597</v>
      </c>
      <c r="J240" s="29">
        <v>1</v>
      </c>
      <c r="K240" s="32">
        <f>VLOOKUP(E240,照明設備稼働時間!$A$4:$E$31,5,FALSE)</f>
        <v>8760</v>
      </c>
      <c r="L240" s="32" t="str">
        <f t="shared" si="6"/>
        <v>CF3W1誘導灯B級BH片面</v>
      </c>
      <c r="M240" s="14">
        <f>VLOOKUP(L240,照明器具一覧!$B$4:$F$129,5,FALSE)</f>
        <v>6</v>
      </c>
      <c r="N240" s="14">
        <v>1</v>
      </c>
      <c r="O240" s="142">
        <f t="shared" si="7"/>
        <v>52.56</v>
      </c>
    </row>
    <row r="241" spans="1:15">
      <c r="A241" s="2" t="s">
        <v>862</v>
      </c>
      <c r="B241" s="78" t="s">
        <v>1499</v>
      </c>
      <c r="C241" s="29" t="s">
        <v>68</v>
      </c>
      <c r="D241" s="29" t="s">
        <v>344</v>
      </c>
      <c r="E241" s="29" t="s">
        <v>77</v>
      </c>
      <c r="F241" s="29" t="s">
        <v>381</v>
      </c>
      <c r="G241" s="29" t="s">
        <v>98</v>
      </c>
      <c r="H241" s="5">
        <v>1</v>
      </c>
      <c r="I241" s="2" t="s">
        <v>594</v>
      </c>
      <c r="J241" s="29">
        <v>3</v>
      </c>
      <c r="K241" s="32">
        <f>VLOOKUP(E241,照明設備稼働時間!$A$4:$E$31,5,FALSE)</f>
        <v>8760</v>
      </c>
      <c r="L241" s="32" t="str">
        <f t="shared" si="6"/>
        <v>CF2W1誘導灯C級片面</v>
      </c>
      <c r="M241" s="14">
        <f>VLOOKUP(L241,照明器具一覧!$B$4:$F$129,5,FALSE)</f>
        <v>4</v>
      </c>
      <c r="N241" s="14">
        <v>1</v>
      </c>
      <c r="O241" s="142">
        <f t="shared" si="7"/>
        <v>105.12</v>
      </c>
    </row>
    <row r="242" spans="1:15">
      <c r="A242" s="77" t="s">
        <v>863</v>
      </c>
      <c r="B242" s="78" t="s">
        <v>1499</v>
      </c>
      <c r="C242" s="29" t="s">
        <v>383</v>
      </c>
      <c r="D242" s="29" t="s">
        <v>344</v>
      </c>
      <c r="E242" s="29" t="s">
        <v>77</v>
      </c>
      <c r="F242" s="29" t="s">
        <v>11</v>
      </c>
      <c r="G242" s="29" t="s">
        <v>224</v>
      </c>
      <c r="H242" s="5">
        <v>1</v>
      </c>
      <c r="I242" s="2" t="s">
        <v>596</v>
      </c>
      <c r="J242" s="29">
        <v>2</v>
      </c>
      <c r="K242" s="32">
        <f>VLOOKUP(E242,照明設備稼働時間!$A$4:$E$31,5,FALSE)</f>
        <v>8760</v>
      </c>
      <c r="L242" s="32" t="str">
        <f t="shared" si="6"/>
        <v>CF3W1誘導灯B級BL片面</v>
      </c>
      <c r="M242" s="14">
        <f>VLOOKUP(L242,照明器具一覧!$B$4:$F$129,5,FALSE)</f>
        <v>6</v>
      </c>
      <c r="N242" s="14">
        <v>1</v>
      </c>
      <c r="O242" s="142">
        <f t="shared" si="7"/>
        <v>105.12</v>
      </c>
    </row>
    <row r="243" spans="1:15">
      <c r="A243" s="2" t="s">
        <v>864</v>
      </c>
      <c r="B243" s="78" t="s">
        <v>1499</v>
      </c>
      <c r="C243" s="29" t="s">
        <v>68</v>
      </c>
      <c r="D243" s="29" t="s">
        <v>344</v>
      </c>
      <c r="E243" s="29" t="s">
        <v>77</v>
      </c>
      <c r="F243" s="29" t="s">
        <v>11</v>
      </c>
      <c r="G243" s="29" t="s">
        <v>98</v>
      </c>
      <c r="H243" s="5">
        <v>1</v>
      </c>
      <c r="I243" s="2" t="s">
        <v>594</v>
      </c>
      <c r="J243" s="29">
        <v>4</v>
      </c>
      <c r="K243" s="32">
        <f>VLOOKUP(E243,照明設備稼働時間!$A$4:$E$31,5,FALSE)</f>
        <v>8760</v>
      </c>
      <c r="L243" s="32" t="str">
        <f t="shared" si="6"/>
        <v>CF2W1誘導灯C級片面</v>
      </c>
      <c r="M243" s="14">
        <f>VLOOKUP(L243,照明器具一覧!$B$4:$F$129,5,FALSE)</f>
        <v>4</v>
      </c>
      <c r="N243" s="14">
        <v>1</v>
      </c>
      <c r="O243" s="142">
        <f t="shared" si="7"/>
        <v>140.16</v>
      </c>
    </row>
    <row r="244" spans="1:15">
      <c r="A244" s="77" t="s">
        <v>865</v>
      </c>
      <c r="B244" s="78" t="s">
        <v>1499</v>
      </c>
      <c r="C244" s="29" t="s">
        <v>134</v>
      </c>
      <c r="D244" s="29" t="s">
        <v>344</v>
      </c>
      <c r="E244" s="29" t="s">
        <v>77</v>
      </c>
      <c r="F244" s="29" t="s">
        <v>11</v>
      </c>
      <c r="G244" s="29" t="s">
        <v>97</v>
      </c>
      <c r="H244" s="5">
        <v>1</v>
      </c>
      <c r="I244" s="2" t="s">
        <v>594</v>
      </c>
      <c r="J244" s="29">
        <v>2</v>
      </c>
      <c r="K244" s="32">
        <f>VLOOKUP(E244,照明設備稼働時間!$A$4:$E$31,5,FALSE)</f>
        <v>8760</v>
      </c>
      <c r="L244" s="32" t="str">
        <f t="shared" si="6"/>
        <v>CF2.2W1誘導灯C級片面</v>
      </c>
      <c r="M244" s="14">
        <f>VLOOKUP(L244,照明器具一覧!$B$4:$F$129,5,FALSE)</f>
        <v>4</v>
      </c>
      <c r="N244" s="14">
        <v>1</v>
      </c>
      <c r="O244" s="142">
        <f t="shared" si="7"/>
        <v>70.08</v>
      </c>
    </row>
    <row r="245" spans="1:15">
      <c r="A245" s="2" t="s">
        <v>866</v>
      </c>
      <c r="B245" s="78" t="s">
        <v>1499</v>
      </c>
      <c r="C245" s="29" t="s">
        <v>67</v>
      </c>
      <c r="D245" s="29" t="s">
        <v>344</v>
      </c>
      <c r="E245" s="29" t="s">
        <v>77</v>
      </c>
      <c r="F245" s="29" t="s">
        <v>11</v>
      </c>
      <c r="G245" s="29" t="s">
        <v>97</v>
      </c>
      <c r="H245" s="5">
        <v>1</v>
      </c>
      <c r="I245" s="2" t="s">
        <v>594</v>
      </c>
      <c r="J245" s="29">
        <v>2</v>
      </c>
      <c r="K245" s="32">
        <f>VLOOKUP(E245,照明設備稼働時間!$A$4:$E$31,5,FALSE)</f>
        <v>8760</v>
      </c>
      <c r="L245" s="32" t="str">
        <f t="shared" si="6"/>
        <v>CF2.2W1誘導灯C級片面</v>
      </c>
      <c r="M245" s="14">
        <f>VLOOKUP(L245,照明器具一覧!$B$4:$F$129,5,FALSE)</f>
        <v>4</v>
      </c>
      <c r="N245" s="14">
        <v>1</v>
      </c>
      <c r="O245" s="142">
        <f t="shared" si="7"/>
        <v>70.08</v>
      </c>
    </row>
    <row r="246" spans="1:15">
      <c r="A246" s="77" t="s">
        <v>867</v>
      </c>
      <c r="B246" s="78" t="s">
        <v>1499</v>
      </c>
      <c r="C246" s="29" t="s">
        <v>69</v>
      </c>
      <c r="D246" s="29" t="s">
        <v>344</v>
      </c>
      <c r="E246" s="29" t="s">
        <v>77</v>
      </c>
      <c r="F246" s="29" t="s">
        <v>11</v>
      </c>
      <c r="G246" s="29" t="s">
        <v>97</v>
      </c>
      <c r="H246" s="5">
        <v>1</v>
      </c>
      <c r="I246" s="2" t="s">
        <v>594</v>
      </c>
      <c r="J246" s="29">
        <v>1</v>
      </c>
      <c r="K246" s="32">
        <f>VLOOKUP(E246,照明設備稼働時間!$A$4:$E$31,5,FALSE)</f>
        <v>8760</v>
      </c>
      <c r="L246" s="32" t="str">
        <f t="shared" si="6"/>
        <v>CF2.2W1誘導灯C級片面</v>
      </c>
      <c r="M246" s="14">
        <f>VLOOKUP(L246,照明器具一覧!$B$4:$F$129,5,FALSE)</f>
        <v>4</v>
      </c>
      <c r="N246" s="14">
        <v>1</v>
      </c>
      <c r="O246" s="142">
        <f t="shared" si="7"/>
        <v>35.04</v>
      </c>
    </row>
    <row r="247" spans="1:15">
      <c r="A247" s="2" t="s">
        <v>868</v>
      </c>
      <c r="B247" s="78" t="s">
        <v>1499</v>
      </c>
      <c r="C247" s="29"/>
      <c r="D247" s="29" t="s">
        <v>344</v>
      </c>
      <c r="E247" s="29" t="s">
        <v>624</v>
      </c>
      <c r="F247" s="29" t="s">
        <v>71</v>
      </c>
      <c r="G247" s="29" t="s">
        <v>72</v>
      </c>
      <c r="H247" s="5">
        <v>1</v>
      </c>
      <c r="I247" s="29" t="s">
        <v>585</v>
      </c>
      <c r="J247" s="29">
        <v>83</v>
      </c>
      <c r="K247" s="32">
        <f>VLOOKUP(E247,照明設備稼働時間!$A$4:$E$31,5,FALSE)</f>
        <v>0</v>
      </c>
      <c r="L247" s="32" t="str">
        <f t="shared" si="6"/>
        <v>IL60W1非常照明　電源別置型</v>
      </c>
      <c r="M247" s="14">
        <f>VLOOKUP(L247,照明器具一覧!$B$4:$F$129,5,FALSE)</f>
        <v>60</v>
      </c>
      <c r="N247" s="14">
        <v>1</v>
      </c>
      <c r="O247" s="142">
        <f t="shared" si="7"/>
        <v>0</v>
      </c>
    </row>
    <row r="248" spans="1:15">
      <c r="A248" s="77" t="s">
        <v>869</v>
      </c>
      <c r="B248" s="78" t="s">
        <v>1499</v>
      </c>
      <c r="C248" s="29" t="s">
        <v>581</v>
      </c>
      <c r="D248" s="29" t="s">
        <v>344</v>
      </c>
      <c r="E248" s="29" t="s">
        <v>624</v>
      </c>
      <c r="F248" s="29" t="s">
        <v>71</v>
      </c>
      <c r="G248" s="29" t="s">
        <v>218</v>
      </c>
      <c r="H248" s="34">
        <v>1</v>
      </c>
      <c r="I248" s="29" t="s">
        <v>585</v>
      </c>
      <c r="J248" s="29">
        <v>12</v>
      </c>
      <c r="K248" s="32">
        <f>VLOOKUP(E248,照明設備稼働時間!$A$4:$E$31,5,FALSE)</f>
        <v>0</v>
      </c>
      <c r="L248" s="32" t="str">
        <f t="shared" si="6"/>
        <v>IL40W1非常照明　電源別置型</v>
      </c>
      <c r="M248" s="14">
        <f>VLOOKUP(L248,照明器具一覧!$B$4:$F$129,5,FALSE)</f>
        <v>40</v>
      </c>
      <c r="N248" s="14">
        <v>1</v>
      </c>
      <c r="O248" s="142">
        <f t="shared" si="7"/>
        <v>0</v>
      </c>
    </row>
    <row r="249" spans="1:15">
      <c r="A249" s="2" t="s">
        <v>870</v>
      </c>
      <c r="B249" s="78" t="s">
        <v>1499</v>
      </c>
      <c r="C249" s="48" t="s">
        <v>282</v>
      </c>
      <c r="D249" s="2" t="s">
        <v>332</v>
      </c>
      <c r="E249" s="2" t="s">
        <v>44</v>
      </c>
      <c r="F249" s="49" t="s">
        <v>297</v>
      </c>
      <c r="G249" s="50" t="s">
        <v>21</v>
      </c>
      <c r="H249" s="5">
        <v>1</v>
      </c>
      <c r="I249" s="2" t="s">
        <v>301</v>
      </c>
      <c r="J249" s="24">
        <v>1</v>
      </c>
      <c r="K249" s="32">
        <f>VLOOKUP(E249,照明設備稼働時間!$A$4:$E$31,5,FALSE)</f>
        <v>242</v>
      </c>
      <c r="L249" s="32" t="str">
        <f t="shared" si="6"/>
        <v>FHF32W1逆富士</v>
      </c>
      <c r="M249" s="14">
        <f>VLOOKUP(L249,照明器具一覧!$B$4:$F$129,5,FALSE)</f>
        <v>36</v>
      </c>
      <c r="N249" s="14">
        <v>1</v>
      </c>
      <c r="O249" s="142">
        <f t="shared" si="7"/>
        <v>8.7119999999999997</v>
      </c>
    </row>
    <row r="250" spans="1:15">
      <c r="A250" s="2" t="s">
        <v>871</v>
      </c>
      <c r="B250" s="78" t="s">
        <v>1499</v>
      </c>
      <c r="C250" s="48" t="s">
        <v>282</v>
      </c>
      <c r="D250" s="2" t="s">
        <v>332</v>
      </c>
      <c r="E250" s="29" t="s">
        <v>1513</v>
      </c>
      <c r="F250" s="49" t="s">
        <v>324</v>
      </c>
      <c r="G250" s="50" t="s">
        <v>21</v>
      </c>
      <c r="H250" s="5">
        <v>1</v>
      </c>
      <c r="I250" s="2" t="s">
        <v>301</v>
      </c>
      <c r="J250" s="24">
        <v>1</v>
      </c>
      <c r="K250" s="32">
        <f>VLOOKUP(E250,照明設備稼働時間!$A$4:$E$31,5,FALSE)</f>
        <v>484</v>
      </c>
      <c r="L250" s="32" t="str">
        <f t="shared" si="6"/>
        <v>FHF32W1逆富士</v>
      </c>
      <c r="M250" s="14">
        <f>VLOOKUP(L250,照明器具一覧!$B$4:$F$129,5,FALSE)</f>
        <v>36</v>
      </c>
      <c r="N250" s="14">
        <v>1</v>
      </c>
      <c r="O250" s="142">
        <f t="shared" si="7"/>
        <v>17.423999999999999</v>
      </c>
    </row>
    <row r="251" spans="1:15">
      <c r="A251" s="2" t="s">
        <v>872</v>
      </c>
      <c r="B251" s="78" t="s">
        <v>1499</v>
      </c>
      <c r="C251" s="48" t="s">
        <v>282</v>
      </c>
      <c r="D251" s="2" t="s">
        <v>332</v>
      </c>
      <c r="E251" s="2" t="s">
        <v>603</v>
      </c>
      <c r="F251" s="49" t="s">
        <v>300</v>
      </c>
      <c r="G251" s="50" t="s">
        <v>21</v>
      </c>
      <c r="H251" s="5">
        <v>1</v>
      </c>
      <c r="I251" s="2" t="s">
        <v>301</v>
      </c>
      <c r="J251" s="24">
        <v>1</v>
      </c>
      <c r="K251" s="32">
        <f>VLOOKUP(E251,照明設備稼働時間!$A$4:$E$31,5,FALSE)</f>
        <v>968</v>
      </c>
      <c r="L251" s="32" t="str">
        <f t="shared" si="6"/>
        <v>FHF32W1逆富士</v>
      </c>
      <c r="M251" s="14">
        <f>VLOOKUP(L251,照明器具一覧!$B$4:$F$129,5,FALSE)</f>
        <v>36</v>
      </c>
      <c r="N251" s="14">
        <v>1</v>
      </c>
      <c r="O251" s="142">
        <f t="shared" si="7"/>
        <v>34.847999999999999</v>
      </c>
    </row>
    <row r="252" spans="1:15">
      <c r="A252" s="2" t="s">
        <v>873</v>
      </c>
      <c r="B252" s="78" t="s">
        <v>1499</v>
      </c>
      <c r="C252" s="48"/>
      <c r="D252" s="2" t="s">
        <v>332</v>
      </c>
      <c r="E252" s="2" t="s">
        <v>603</v>
      </c>
      <c r="F252" s="49" t="s">
        <v>338</v>
      </c>
      <c r="G252" s="50" t="s">
        <v>304</v>
      </c>
      <c r="H252" s="5">
        <v>1</v>
      </c>
      <c r="I252" s="2" t="s">
        <v>316</v>
      </c>
      <c r="J252" s="24">
        <v>2</v>
      </c>
      <c r="K252" s="32">
        <f>VLOOKUP(E252,照明設備稼働時間!$A$4:$E$31,5,FALSE)</f>
        <v>968</v>
      </c>
      <c r="L252" s="32" t="str">
        <f t="shared" si="6"/>
        <v>LED電球1レセップ</v>
      </c>
      <c r="M252" s="14">
        <f>VLOOKUP(L252,照明器具一覧!$B$4:$F$129,5,FALSE)</f>
        <v>4.5999999999999996</v>
      </c>
      <c r="N252" s="14">
        <v>0.5</v>
      </c>
      <c r="O252" s="142">
        <f t="shared" si="7"/>
        <v>4.452799999999999</v>
      </c>
    </row>
    <row r="253" spans="1:15">
      <c r="A253" s="2" t="s">
        <v>874</v>
      </c>
      <c r="B253" s="78" t="s">
        <v>1499</v>
      </c>
      <c r="C253" s="48" t="s">
        <v>284</v>
      </c>
      <c r="D253" s="2" t="s">
        <v>332</v>
      </c>
      <c r="E253" s="2" t="s">
        <v>1507</v>
      </c>
      <c r="F253" s="49" t="s">
        <v>174</v>
      </c>
      <c r="G253" s="50" t="s">
        <v>19</v>
      </c>
      <c r="H253" s="5">
        <v>1</v>
      </c>
      <c r="I253" s="2" t="s">
        <v>303</v>
      </c>
      <c r="J253" s="24">
        <v>1</v>
      </c>
      <c r="K253" s="32">
        <f>VLOOKUP(E253,照明設備稼働時間!$A$4:$E$31,5,FALSE)</f>
        <v>0</v>
      </c>
      <c r="L253" s="32" t="str">
        <f t="shared" si="6"/>
        <v>FHF16W1片反射笠付（高出力）</v>
      </c>
      <c r="M253" s="14">
        <f>VLOOKUP(L253,照明器具一覧!$B$4:$F$129,5,FALSE)</f>
        <v>26</v>
      </c>
      <c r="N253" s="14">
        <v>1</v>
      </c>
      <c r="O253" s="142">
        <f t="shared" si="7"/>
        <v>0</v>
      </c>
    </row>
    <row r="254" spans="1:15">
      <c r="A254" s="2" t="s">
        <v>875</v>
      </c>
      <c r="B254" s="78" t="s">
        <v>1499</v>
      </c>
      <c r="C254" s="48" t="s">
        <v>283</v>
      </c>
      <c r="D254" s="2" t="s">
        <v>332</v>
      </c>
      <c r="E254" s="2" t="s">
        <v>601</v>
      </c>
      <c r="F254" s="49" t="s">
        <v>261</v>
      </c>
      <c r="G254" s="50" t="s">
        <v>21</v>
      </c>
      <c r="H254" s="5">
        <v>1</v>
      </c>
      <c r="I254" s="2" t="s">
        <v>302</v>
      </c>
      <c r="J254" s="24">
        <v>3</v>
      </c>
      <c r="K254" s="32">
        <f>VLOOKUP(E254,照明設備稼働時間!$A$4:$E$31,5,FALSE)</f>
        <v>2299</v>
      </c>
      <c r="L254" s="32" t="str">
        <f t="shared" si="6"/>
        <v>FHF32W1埋込W190</v>
      </c>
      <c r="M254" s="14">
        <f>VLOOKUP(L254,照明器具一覧!$B$4:$F$129,5,FALSE)</f>
        <v>36</v>
      </c>
      <c r="N254" s="14">
        <v>1</v>
      </c>
      <c r="O254" s="142">
        <f t="shared" si="7"/>
        <v>248.292</v>
      </c>
    </row>
    <row r="255" spans="1:15">
      <c r="A255" s="2" t="s">
        <v>876</v>
      </c>
      <c r="B255" s="78" t="s">
        <v>1499</v>
      </c>
      <c r="C255" s="48" t="s">
        <v>282</v>
      </c>
      <c r="D255" s="2" t="s">
        <v>332</v>
      </c>
      <c r="E255" s="2" t="s">
        <v>603</v>
      </c>
      <c r="F255" s="49" t="s">
        <v>299</v>
      </c>
      <c r="G255" s="50" t="s">
        <v>21</v>
      </c>
      <c r="H255" s="5">
        <v>1</v>
      </c>
      <c r="I255" s="2" t="s">
        <v>301</v>
      </c>
      <c r="J255" s="24">
        <v>1</v>
      </c>
      <c r="K255" s="32">
        <f>VLOOKUP(E255,照明設備稼働時間!$A$4:$E$31,5,FALSE)</f>
        <v>968</v>
      </c>
      <c r="L255" s="32" t="str">
        <f t="shared" si="6"/>
        <v>FHF32W1逆富士</v>
      </c>
      <c r="M255" s="14">
        <f>VLOOKUP(L255,照明器具一覧!$B$4:$F$129,5,FALSE)</f>
        <v>36</v>
      </c>
      <c r="N255" s="14">
        <v>1</v>
      </c>
      <c r="O255" s="142">
        <f t="shared" si="7"/>
        <v>34.847999999999999</v>
      </c>
    </row>
    <row r="256" spans="1:15">
      <c r="A256" s="2" t="s">
        <v>877</v>
      </c>
      <c r="B256" s="78" t="s">
        <v>1499</v>
      </c>
      <c r="C256" s="48"/>
      <c r="D256" s="2" t="s">
        <v>332</v>
      </c>
      <c r="E256" s="2" t="s">
        <v>603</v>
      </c>
      <c r="F256" s="49" t="s">
        <v>339</v>
      </c>
      <c r="G256" s="50" t="s">
        <v>304</v>
      </c>
      <c r="H256" s="5">
        <v>1</v>
      </c>
      <c r="I256" s="2" t="s">
        <v>316</v>
      </c>
      <c r="J256" s="24">
        <v>3</v>
      </c>
      <c r="K256" s="32">
        <f>VLOOKUP(E256,照明設備稼働時間!$A$4:$E$31,5,FALSE)</f>
        <v>968</v>
      </c>
      <c r="L256" s="32" t="str">
        <f t="shared" si="6"/>
        <v>LED電球1レセップ</v>
      </c>
      <c r="M256" s="14">
        <f>VLOOKUP(L256,照明器具一覧!$B$4:$F$129,5,FALSE)</f>
        <v>4.5999999999999996</v>
      </c>
      <c r="N256" s="14">
        <v>0.66</v>
      </c>
      <c r="O256" s="142">
        <f t="shared" si="7"/>
        <v>8.8165440000000004</v>
      </c>
    </row>
    <row r="257" spans="1:15">
      <c r="A257" s="2" t="s">
        <v>878</v>
      </c>
      <c r="B257" s="78" t="s">
        <v>1499</v>
      </c>
      <c r="C257" s="48" t="s">
        <v>285</v>
      </c>
      <c r="D257" s="2" t="s">
        <v>332</v>
      </c>
      <c r="E257" s="2" t="s">
        <v>601</v>
      </c>
      <c r="F257" s="49" t="s">
        <v>262</v>
      </c>
      <c r="G257" s="50" t="s">
        <v>21</v>
      </c>
      <c r="H257" s="5">
        <v>1</v>
      </c>
      <c r="I257" s="2" t="s">
        <v>551</v>
      </c>
      <c r="J257" s="24">
        <v>1</v>
      </c>
      <c r="K257" s="32">
        <f>VLOOKUP(E257,照明設備稼働時間!$A$4:$E$31,5,FALSE)</f>
        <v>2299</v>
      </c>
      <c r="L257" s="32" t="str">
        <f t="shared" si="6"/>
        <v>FHF32W1階段灯　非常灯付</v>
      </c>
      <c r="M257" s="14">
        <f>VLOOKUP(L257,照明器具一覧!$B$4:$F$129,5,FALSE)</f>
        <v>36</v>
      </c>
      <c r="N257" s="14">
        <v>1</v>
      </c>
      <c r="O257" s="142">
        <f t="shared" si="7"/>
        <v>82.763999999999996</v>
      </c>
    </row>
    <row r="258" spans="1:15">
      <c r="A258" s="2" t="s">
        <v>879</v>
      </c>
      <c r="B258" s="78" t="s">
        <v>1499</v>
      </c>
      <c r="C258" s="48" t="s">
        <v>286</v>
      </c>
      <c r="D258" s="2" t="s">
        <v>332</v>
      </c>
      <c r="E258" s="2" t="s">
        <v>601</v>
      </c>
      <c r="F258" s="49" t="s">
        <v>262</v>
      </c>
      <c r="G258" s="50" t="s">
        <v>21</v>
      </c>
      <c r="H258" s="5">
        <v>1</v>
      </c>
      <c r="I258" s="2" t="s">
        <v>551</v>
      </c>
      <c r="J258" s="24">
        <v>1</v>
      </c>
      <c r="K258" s="32">
        <f>VLOOKUP(E258,照明設備稼働時間!$A$4:$E$31,5,FALSE)</f>
        <v>2299</v>
      </c>
      <c r="L258" s="32" t="str">
        <f t="shared" si="6"/>
        <v>FHF32W1階段灯　非常灯付</v>
      </c>
      <c r="M258" s="14">
        <f>VLOOKUP(L258,照明器具一覧!$B$4:$F$129,5,FALSE)</f>
        <v>36</v>
      </c>
      <c r="N258" s="14">
        <v>1</v>
      </c>
      <c r="O258" s="142">
        <f t="shared" si="7"/>
        <v>82.763999999999996</v>
      </c>
    </row>
    <row r="259" spans="1:15">
      <c r="A259" s="2" t="s">
        <v>880</v>
      </c>
      <c r="B259" s="78" t="s">
        <v>1499</v>
      </c>
      <c r="C259" s="48" t="s">
        <v>289</v>
      </c>
      <c r="D259" s="2" t="s">
        <v>332</v>
      </c>
      <c r="E259" s="2" t="s">
        <v>265</v>
      </c>
      <c r="F259" s="49" t="s">
        <v>35</v>
      </c>
      <c r="G259" s="50" t="s">
        <v>21</v>
      </c>
      <c r="H259" s="5">
        <v>1</v>
      </c>
      <c r="I259" s="2" t="s">
        <v>89</v>
      </c>
      <c r="J259" s="24">
        <v>4</v>
      </c>
      <c r="K259" s="32">
        <f>VLOOKUP(E259,照明設備稼働時間!$A$4:$E$31,5,FALSE)</f>
        <v>2602</v>
      </c>
      <c r="L259" s="32" t="str">
        <f t="shared" si="6"/>
        <v>FHF32W1トラフ</v>
      </c>
      <c r="M259" s="14">
        <f>VLOOKUP(L259,照明器具一覧!$B$4:$F$129,5,FALSE)</f>
        <v>36</v>
      </c>
      <c r="N259" s="14">
        <v>1</v>
      </c>
      <c r="O259" s="142">
        <f t="shared" si="7"/>
        <v>374.68799999999999</v>
      </c>
    </row>
    <row r="260" spans="1:15">
      <c r="A260" s="2" t="s">
        <v>881</v>
      </c>
      <c r="B260" s="78" t="s">
        <v>1499</v>
      </c>
      <c r="C260" s="48"/>
      <c r="D260" s="2" t="s">
        <v>346</v>
      </c>
      <c r="E260" s="2" t="s">
        <v>265</v>
      </c>
      <c r="F260" s="49" t="s">
        <v>35</v>
      </c>
      <c r="G260" s="50" t="s">
        <v>72</v>
      </c>
      <c r="H260" s="5">
        <v>1</v>
      </c>
      <c r="I260" s="2" t="s">
        <v>73</v>
      </c>
      <c r="J260" s="24">
        <v>5</v>
      </c>
      <c r="K260" s="32">
        <f>VLOOKUP(E260,照明設備稼働時間!$A$4:$E$31,5,FALSE)</f>
        <v>2602</v>
      </c>
      <c r="L260" s="32" t="str">
        <f t="shared" ref="L260:L323" si="8">G260&amp;H260&amp;I260</f>
        <v>IL60W1ダウンライト</v>
      </c>
      <c r="M260" s="14">
        <f>VLOOKUP(L260,照明器具一覧!$B$4:$F$129,5,FALSE)</f>
        <v>60</v>
      </c>
      <c r="N260" s="14">
        <v>1</v>
      </c>
      <c r="O260" s="142">
        <f t="shared" si="7"/>
        <v>780.6</v>
      </c>
    </row>
    <row r="261" spans="1:15">
      <c r="A261" s="2" t="s">
        <v>882</v>
      </c>
      <c r="B261" s="78" t="s">
        <v>1499</v>
      </c>
      <c r="C261" s="48" t="s">
        <v>289</v>
      </c>
      <c r="D261" s="2" t="s">
        <v>332</v>
      </c>
      <c r="E261" s="2" t="s">
        <v>601</v>
      </c>
      <c r="F261" s="49" t="s">
        <v>266</v>
      </c>
      <c r="G261" s="50" t="s">
        <v>21</v>
      </c>
      <c r="H261" s="5">
        <v>1</v>
      </c>
      <c r="I261" s="2" t="s">
        <v>89</v>
      </c>
      <c r="J261" s="24">
        <v>69</v>
      </c>
      <c r="K261" s="32">
        <f>VLOOKUP(E261,照明設備稼働時間!$A$4:$E$31,5,FALSE)</f>
        <v>2299</v>
      </c>
      <c r="L261" s="32" t="str">
        <f t="shared" si="8"/>
        <v>FHF32W1トラフ</v>
      </c>
      <c r="M261" s="14">
        <f>VLOOKUP(L261,照明器具一覧!$B$4:$F$129,5,FALSE)</f>
        <v>36</v>
      </c>
      <c r="N261" s="14">
        <v>1</v>
      </c>
      <c r="O261" s="142">
        <f t="shared" ref="O261:O324" si="9">(M261*J261*K261*N261)/1000</f>
        <v>5710.7160000000003</v>
      </c>
    </row>
    <row r="262" spans="1:15">
      <c r="A262" s="2" t="s">
        <v>883</v>
      </c>
      <c r="B262" s="78" t="s">
        <v>1499</v>
      </c>
      <c r="C262" s="48" t="s">
        <v>290</v>
      </c>
      <c r="D262" s="2" t="s">
        <v>332</v>
      </c>
      <c r="E262" s="2" t="s">
        <v>601</v>
      </c>
      <c r="F262" s="49" t="s">
        <v>266</v>
      </c>
      <c r="G262" s="50" t="s">
        <v>21</v>
      </c>
      <c r="H262" s="5">
        <v>1</v>
      </c>
      <c r="I262" s="2" t="s">
        <v>89</v>
      </c>
      <c r="J262" s="24">
        <v>2</v>
      </c>
      <c r="K262" s="32">
        <f>VLOOKUP(E262,照明設備稼働時間!$A$4:$E$31,5,FALSE)</f>
        <v>2299</v>
      </c>
      <c r="L262" s="32" t="str">
        <f t="shared" si="8"/>
        <v>FHF32W1トラフ</v>
      </c>
      <c r="M262" s="14">
        <f>VLOOKUP(L262,照明器具一覧!$B$4:$F$129,5,FALSE)</f>
        <v>36</v>
      </c>
      <c r="N262" s="14">
        <v>1</v>
      </c>
      <c r="O262" s="142">
        <f t="shared" si="9"/>
        <v>165.52799999999999</v>
      </c>
    </row>
    <row r="263" spans="1:15">
      <c r="A263" s="2" t="s">
        <v>884</v>
      </c>
      <c r="B263" s="78" t="s">
        <v>1499</v>
      </c>
      <c r="C263" s="48"/>
      <c r="D263" s="2" t="s">
        <v>332</v>
      </c>
      <c r="E263" s="2" t="s">
        <v>601</v>
      </c>
      <c r="F263" s="49" t="s">
        <v>266</v>
      </c>
      <c r="G263" s="50" t="s">
        <v>304</v>
      </c>
      <c r="H263" s="5">
        <v>1</v>
      </c>
      <c r="I263" s="2" t="s">
        <v>76</v>
      </c>
      <c r="J263" s="24">
        <v>4</v>
      </c>
      <c r="K263" s="32">
        <f>VLOOKUP(E263,照明設備稼働時間!$A$4:$E$31,5,FALSE)</f>
        <v>2299</v>
      </c>
      <c r="L263" s="32" t="str">
        <f t="shared" si="8"/>
        <v>LED電球1ユニバーサルダウンライト</v>
      </c>
      <c r="M263" s="14">
        <f>VLOOKUP(L263,照明器具一覧!$B$4:$F$129,5,FALSE)</f>
        <v>10</v>
      </c>
      <c r="N263" s="14">
        <v>1</v>
      </c>
      <c r="O263" s="142">
        <f t="shared" si="9"/>
        <v>91.96</v>
      </c>
    </row>
    <row r="264" spans="1:15">
      <c r="A264" s="2" t="s">
        <v>885</v>
      </c>
      <c r="B264" s="78" t="s">
        <v>1499</v>
      </c>
      <c r="C264" s="48"/>
      <c r="D264" s="2" t="s">
        <v>332</v>
      </c>
      <c r="E264" s="2" t="s">
        <v>601</v>
      </c>
      <c r="F264" s="49" t="s">
        <v>550</v>
      </c>
      <c r="G264" s="50" t="s">
        <v>164</v>
      </c>
      <c r="H264" s="5">
        <v>1</v>
      </c>
      <c r="I264" s="2"/>
      <c r="J264" s="24">
        <v>3</v>
      </c>
      <c r="K264" s="32">
        <f>VLOOKUP(E264,照明設備稼働時間!$A$4:$E$31,5,FALSE)</f>
        <v>2299</v>
      </c>
      <c r="L264" s="32" t="str">
        <f t="shared" si="8"/>
        <v>FL20W1</v>
      </c>
      <c r="M264" s="14">
        <f>VLOOKUP(L264,照明器具一覧!$B$4:$F$129,5,FALSE)</f>
        <v>22</v>
      </c>
      <c r="N264" s="14">
        <v>1</v>
      </c>
      <c r="O264" s="142">
        <f t="shared" si="9"/>
        <v>151.73400000000001</v>
      </c>
    </row>
    <row r="265" spans="1:15">
      <c r="A265" s="2" t="s">
        <v>886</v>
      </c>
      <c r="B265" s="78" t="s">
        <v>1499</v>
      </c>
      <c r="C265" s="48" t="s">
        <v>285</v>
      </c>
      <c r="D265" s="2" t="s">
        <v>332</v>
      </c>
      <c r="E265" s="2" t="s">
        <v>601</v>
      </c>
      <c r="F265" s="49" t="s">
        <v>267</v>
      </c>
      <c r="G265" s="50" t="s">
        <v>21</v>
      </c>
      <c r="H265" s="5">
        <v>1</v>
      </c>
      <c r="I265" s="2" t="s">
        <v>551</v>
      </c>
      <c r="J265" s="24">
        <v>1</v>
      </c>
      <c r="K265" s="32">
        <f>VLOOKUP(E265,照明設備稼働時間!$A$4:$E$31,5,FALSE)</f>
        <v>2299</v>
      </c>
      <c r="L265" s="32" t="str">
        <f t="shared" si="8"/>
        <v>FHF32W1階段灯　非常灯付</v>
      </c>
      <c r="M265" s="14">
        <f>VLOOKUP(L265,照明器具一覧!$B$4:$F$129,5,FALSE)</f>
        <v>36</v>
      </c>
      <c r="N265" s="14">
        <v>1</v>
      </c>
      <c r="O265" s="142">
        <f t="shared" si="9"/>
        <v>82.763999999999996</v>
      </c>
    </row>
    <row r="266" spans="1:15">
      <c r="A266" s="2" t="s">
        <v>887</v>
      </c>
      <c r="B266" s="78" t="s">
        <v>1499</v>
      </c>
      <c r="C266" s="48" t="s">
        <v>286</v>
      </c>
      <c r="D266" s="2" t="s">
        <v>332</v>
      </c>
      <c r="E266" s="2" t="s">
        <v>601</v>
      </c>
      <c r="F266" s="49" t="s">
        <v>267</v>
      </c>
      <c r="G266" s="50" t="s">
        <v>21</v>
      </c>
      <c r="H266" s="5">
        <v>1</v>
      </c>
      <c r="I266" s="2" t="s">
        <v>551</v>
      </c>
      <c r="J266" s="24">
        <v>1</v>
      </c>
      <c r="K266" s="32">
        <f>VLOOKUP(E266,照明設備稼働時間!$A$4:$E$31,5,FALSE)</f>
        <v>2299</v>
      </c>
      <c r="L266" s="32" t="str">
        <f t="shared" si="8"/>
        <v>FHF32W1階段灯　非常灯付</v>
      </c>
      <c r="M266" s="14">
        <f>VLOOKUP(L266,照明器具一覧!$B$4:$F$129,5,FALSE)</f>
        <v>36</v>
      </c>
      <c r="N266" s="14">
        <v>1</v>
      </c>
      <c r="O266" s="142">
        <f t="shared" si="9"/>
        <v>82.763999999999996</v>
      </c>
    </row>
    <row r="267" spans="1:15">
      <c r="A267" s="2" t="s">
        <v>888</v>
      </c>
      <c r="B267" s="78" t="s">
        <v>1499</v>
      </c>
      <c r="C267" s="48" t="s">
        <v>283</v>
      </c>
      <c r="D267" s="2" t="s">
        <v>332</v>
      </c>
      <c r="E267" s="2" t="s">
        <v>1508</v>
      </c>
      <c r="F267" s="49" t="s">
        <v>57</v>
      </c>
      <c r="G267" s="50" t="s">
        <v>21</v>
      </c>
      <c r="H267" s="5">
        <v>1</v>
      </c>
      <c r="I267" s="2" t="s">
        <v>302</v>
      </c>
      <c r="J267" s="24">
        <v>2</v>
      </c>
      <c r="K267" s="32">
        <f>VLOOKUP(E267,照明設備稼働時間!$A$4:$E$31,5,FALSE)</f>
        <v>8760</v>
      </c>
      <c r="L267" s="32" t="str">
        <f t="shared" si="8"/>
        <v>FHF32W1埋込W190</v>
      </c>
      <c r="M267" s="14">
        <f>VLOOKUP(L267,照明器具一覧!$B$4:$F$129,5,FALSE)</f>
        <v>36</v>
      </c>
      <c r="N267" s="14">
        <v>1</v>
      </c>
      <c r="O267" s="142">
        <f t="shared" si="9"/>
        <v>630.72</v>
      </c>
    </row>
    <row r="268" spans="1:15">
      <c r="A268" s="2" t="s">
        <v>889</v>
      </c>
      <c r="B268" s="78" t="s">
        <v>1499</v>
      </c>
      <c r="C268" s="48"/>
      <c r="D268" s="2" t="s">
        <v>346</v>
      </c>
      <c r="E268" s="2" t="s">
        <v>1508</v>
      </c>
      <c r="F268" s="49" t="s">
        <v>57</v>
      </c>
      <c r="G268" s="50" t="s">
        <v>72</v>
      </c>
      <c r="H268" s="5">
        <v>1</v>
      </c>
      <c r="I268" s="2" t="s">
        <v>73</v>
      </c>
      <c r="J268" s="24">
        <v>1</v>
      </c>
      <c r="K268" s="32">
        <f>VLOOKUP(E268,照明設備稼働時間!$A$4:$E$31,5,FALSE)</f>
        <v>8760</v>
      </c>
      <c r="L268" s="32" t="str">
        <f t="shared" si="8"/>
        <v>IL60W1ダウンライト</v>
      </c>
      <c r="M268" s="14">
        <f>VLOOKUP(L268,照明器具一覧!$B$4:$F$129,5,FALSE)</f>
        <v>60</v>
      </c>
      <c r="N268" s="14">
        <v>1</v>
      </c>
      <c r="O268" s="142">
        <f t="shared" si="9"/>
        <v>525.6</v>
      </c>
    </row>
    <row r="269" spans="1:15">
      <c r="A269" s="2" t="s">
        <v>890</v>
      </c>
      <c r="B269" s="78" t="s">
        <v>1499</v>
      </c>
      <c r="C269" s="48" t="s">
        <v>85</v>
      </c>
      <c r="D269" s="2" t="s">
        <v>332</v>
      </c>
      <c r="E269" s="2" t="s">
        <v>1507</v>
      </c>
      <c r="F269" s="49" t="s">
        <v>38</v>
      </c>
      <c r="G269" s="50" t="s">
        <v>21</v>
      </c>
      <c r="H269" s="5">
        <v>1</v>
      </c>
      <c r="I269" s="2" t="s">
        <v>253</v>
      </c>
      <c r="J269" s="24">
        <v>1</v>
      </c>
      <c r="K269" s="32">
        <f>VLOOKUP(E269,照明設備稼働時間!$A$4:$E$31,5,FALSE)</f>
        <v>0</v>
      </c>
      <c r="L269" s="32" t="str">
        <f t="shared" si="8"/>
        <v>FHF32W1片反射笠付</v>
      </c>
      <c r="M269" s="14">
        <f>VLOOKUP(L269,照明器具一覧!$B$4:$F$129,5,FALSE)</f>
        <v>36</v>
      </c>
      <c r="N269" s="14">
        <v>1</v>
      </c>
      <c r="O269" s="142">
        <f t="shared" si="9"/>
        <v>0</v>
      </c>
    </row>
    <row r="270" spans="1:15">
      <c r="A270" s="2" t="s">
        <v>891</v>
      </c>
      <c r="B270" s="78" t="s">
        <v>1499</v>
      </c>
      <c r="C270" s="48" t="s">
        <v>282</v>
      </c>
      <c r="D270" s="2" t="s">
        <v>332</v>
      </c>
      <c r="E270" s="2" t="s">
        <v>44</v>
      </c>
      <c r="F270" s="49" t="s">
        <v>309</v>
      </c>
      <c r="G270" s="50" t="s">
        <v>21</v>
      </c>
      <c r="H270" s="5">
        <v>1</v>
      </c>
      <c r="I270" s="2" t="s">
        <v>301</v>
      </c>
      <c r="J270" s="24">
        <v>2</v>
      </c>
      <c r="K270" s="32">
        <f>VLOOKUP(E270,照明設備稼働時間!$A$4:$E$31,5,FALSE)</f>
        <v>242</v>
      </c>
      <c r="L270" s="32" t="str">
        <f t="shared" si="8"/>
        <v>FHF32W1逆富士</v>
      </c>
      <c r="M270" s="14">
        <f>VLOOKUP(L270,照明器具一覧!$B$4:$F$129,5,FALSE)</f>
        <v>36</v>
      </c>
      <c r="N270" s="14">
        <v>1</v>
      </c>
      <c r="O270" s="142">
        <f t="shared" si="9"/>
        <v>17.423999999999999</v>
      </c>
    </row>
    <row r="271" spans="1:15">
      <c r="A271" s="2" t="s">
        <v>892</v>
      </c>
      <c r="B271" s="78" t="s">
        <v>1499</v>
      </c>
      <c r="C271" s="48" t="s">
        <v>292</v>
      </c>
      <c r="D271" s="2" t="s">
        <v>332</v>
      </c>
      <c r="E271" s="2" t="s">
        <v>601</v>
      </c>
      <c r="F271" s="49" t="s">
        <v>268</v>
      </c>
      <c r="G271" s="50" t="s">
        <v>19</v>
      </c>
      <c r="H271" s="5">
        <v>1</v>
      </c>
      <c r="I271" s="2" t="s">
        <v>335</v>
      </c>
      <c r="J271" s="24">
        <v>1</v>
      </c>
      <c r="K271" s="32">
        <f>VLOOKUP(E271,照明設備稼働時間!$A$4:$E$31,5,FALSE)</f>
        <v>2299</v>
      </c>
      <c r="L271" s="32" t="str">
        <f t="shared" si="8"/>
        <v>FHF16W1埋込　高出力</v>
      </c>
      <c r="M271" s="14">
        <f>VLOOKUP(L271,照明器具一覧!$B$4:$F$129,5,FALSE)</f>
        <v>26</v>
      </c>
      <c r="N271" s="14">
        <v>1</v>
      </c>
      <c r="O271" s="142">
        <f t="shared" si="9"/>
        <v>59.774000000000001</v>
      </c>
    </row>
    <row r="272" spans="1:15">
      <c r="A272" s="2" t="s">
        <v>893</v>
      </c>
      <c r="B272" s="78" t="s">
        <v>1499</v>
      </c>
      <c r="C272" s="48" t="s">
        <v>287</v>
      </c>
      <c r="D272" s="2" t="s">
        <v>332</v>
      </c>
      <c r="E272" s="2" t="s">
        <v>600</v>
      </c>
      <c r="F272" s="49" t="s">
        <v>321</v>
      </c>
      <c r="G272" s="50" t="s">
        <v>21</v>
      </c>
      <c r="H272" s="5">
        <v>2</v>
      </c>
      <c r="I272" s="2" t="s">
        <v>305</v>
      </c>
      <c r="J272" s="24">
        <v>104</v>
      </c>
      <c r="K272" s="32">
        <f>VLOOKUP(E272,照明設備稼働時間!$A$4:$E$31,5,FALSE)</f>
        <v>2299</v>
      </c>
      <c r="L272" s="32" t="str">
        <f t="shared" si="8"/>
        <v>FHF32W2システム天井</v>
      </c>
      <c r="M272" s="14">
        <f>VLOOKUP(L272,照明器具一覧!$B$4:$F$129,5,FALSE)</f>
        <v>72</v>
      </c>
      <c r="N272" s="14">
        <v>1</v>
      </c>
      <c r="O272" s="142">
        <f t="shared" si="9"/>
        <v>17214.912</v>
      </c>
    </row>
    <row r="273" spans="1:15">
      <c r="A273" s="2" t="s">
        <v>894</v>
      </c>
      <c r="B273" s="78" t="s">
        <v>1499</v>
      </c>
      <c r="C273" s="48" t="s">
        <v>288</v>
      </c>
      <c r="D273" s="2" t="s">
        <v>332</v>
      </c>
      <c r="E273" s="2" t="s">
        <v>600</v>
      </c>
      <c r="F273" s="49" t="s">
        <v>321</v>
      </c>
      <c r="G273" s="50" t="s">
        <v>19</v>
      </c>
      <c r="H273" s="5">
        <v>2</v>
      </c>
      <c r="I273" s="2" t="s">
        <v>305</v>
      </c>
      <c r="J273" s="24">
        <v>4</v>
      </c>
      <c r="K273" s="32">
        <f>VLOOKUP(E273,照明設備稼働時間!$A$4:$E$31,5,FALSE)</f>
        <v>2299</v>
      </c>
      <c r="L273" s="32" t="str">
        <f t="shared" si="8"/>
        <v>FHF16W2システム天井</v>
      </c>
      <c r="M273" s="14">
        <f>VLOOKUP(L273,照明器具一覧!$B$4:$F$129,5,FALSE)</f>
        <v>26</v>
      </c>
      <c r="N273" s="14">
        <v>1</v>
      </c>
      <c r="O273" s="142">
        <f t="shared" si="9"/>
        <v>239.096</v>
      </c>
    </row>
    <row r="274" spans="1:15">
      <c r="A274" s="2" t="s">
        <v>895</v>
      </c>
      <c r="B274" s="78" t="s">
        <v>1499</v>
      </c>
      <c r="C274" s="48" t="s">
        <v>290</v>
      </c>
      <c r="D274" s="2" t="s">
        <v>332</v>
      </c>
      <c r="E274" s="2" t="s">
        <v>600</v>
      </c>
      <c r="F274" s="49" t="s">
        <v>321</v>
      </c>
      <c r="G274" s="50" t="s">
        <v>21</v>
      </c>
      <c r="H274" s="5">
        <v>1</v>
      </c>
      <c r="I274" s="2" t="s">
        <v>89</v>
      </c>
      <c r="J274" s="24">
        <v>64</v>
      </c>
      <c r="K274" s="32">
        <f>VLOOKUP(E274,照明設備稼働時間!$A$4:$E$31,5,FALSE)</f>
        <v>2299</v>
      </c>
      <c r="L274" s="32" t="str">
        <f t="shared" si="8"/>
        <v>FHF32W1トラフ</v>
      </c>
      <c r="M274" s="14">
        <f>VLOOKUP(L274,照明器具一覧!$B$4:$F$129,5,FALSE)</f>
        <v>36</v>
      </c>
      <c r="N274" s="14">
        <v>1</v>
      </c>
      <c r="O274" s="142">
        <f t="shared" si="9"/>
        <v>5296.8959999999997</v>
      </c>
    </row>
    <row r="275" spans="1:15">
      <c r="A275" s="2" t="s">
        <v>896</v>
      </c>
      <c r="B275" s="78" t="s">
        <v>1499</v>
      </c>
      <c r="C275" s="48" t="s">
        <v>282</v>
      </c>
      <c r="D275" s="2" t="s">
        <v>332</v>
      </c>
      <c r="E275" s="2" t="s">
        <v>600</v>
      </c>
      <c r="F275" s="49" t="s">
        <v>319</v>
      </c>
      <c r="G275" s="50" t="s">
        <v>21</v>
      </c>
      <c r="H275" s="5">
        <v>1</v>
      </c>
      <c r="I275" s="2" t="s">
        <v>301</v>
      </c>
      <c r="J275" s="24">
        <v>4</v>
      </c>
      <c r="K275" s="32">
        <f>VLOOKUP(E275,照明設備稼働時間!$A$4:$E$31,5,FALSE)</f>
        <v>2299</v>
      </c>
      <c r="L275" s="32" t="str">
        <f t="shared" si="8"/>
        <v>FHF32W1逆富士</v>
      </c>
      <c r="M275" s="14">
        <f>VLOOKUP(L275,照明器具一覧!$B$4:$F$129,5,FALSE)</f>
        <v>36</v>
      </c>
      <c r="N275" s="14">
        <v>1</v>
      </c>
      <c r="O275" s="142">
        <f t="shared" si="9"/>
        <v>331.05599999999998</v>
      </c>
    </row>
    <row r="276" spans="1:15">
      <c r="A276" s="2" t="s">
        <v>897</v>
      </c>
      <c r="B276" s="78" t="s">
        <v>1499</v>
      </c>
      <c r="C276" s="48" t="s">
        <v>294</v>
      </c>
      <c r="D276" s="2" t="s">
        <v>332</v>
      </c>
      <c r="E276" s="2" t="s">
        <v>606</v>
      </c>
      <c r="F276" s="49" t="s">
        <v>272</v>
      </c>
      <c r="G276" s="50" t="s">
        <v>21</v>
      </c>
      <c r="H276" s="5">
        <v>1</v>
      </c>
      <c r="I276" s="2" t="s">
        <v>251</v>
      </c>
      <c r="J276" s="24">
        <v>6</v>
      </c>
      <c r="K276" s="32">
        <f>VLOOKUP(E276,照明設備稼働時間!$A$4:$E$31,5,FALSE)</f>
        <v>242</v>
      </c>
      <c r="L276" s="32" t="str">
        <f t="shared" si="8"/>
        <v>FHF32W1笠付</v>
      </c>
      <c r="M276" s="14">
        <f>VLOOKUP(L276,照明器具一覧!$B$4:$F$129,5,FALSE)</f>
        <v>36</v>
      </c>
      <c r="N276" s="14">
        <v>1</v>
      </c>
      <c r="O276" s="142">
        <f t="shared" si="9"/>
        <v>52.271999999999998</v>
      </c>
    </row>
    <row r="277" spans="1:15">
      <c r="A277" s="2" t="s">
        <v>898</v>
      </c>
      <c r="B277" s="78" t="s">
        <v>1499</v>
      </c>
      <c r="C277" s="48" t="s">
        <v>282</v>
      </c>
      <c r="D277" s="2" t="s">
        <v>332</v>
      </c>
      <c r="E277" s="2" t="s">
        <v>603</v>
      </c>
      <c r="F277" s="49" t="s">
        <v>311</v>
      </c>
      <c r="G277" s="50" t="s">
        <v>21</v>
      </c>
      <c r="H277" s="5">
        <v>1</v>
      </c>
      <c r="I277" s="2" t="s">
        <v>301</v>
      </c>
      <c r="J277" s="24">
        <v>1</v>
      </c>
      <c r="K277" s="32">
        <f>VLOOKUP(E277,照明設備稼働時間!$A$4:$E$31,5,FALSE)</f>
        <v>968</v>
      </c>
      <c r="L277" s="32" t="str">
        <f t="shared" si="8"/>
        <v>FHF32W1逆富士</v>
      </c>
      <c r="M277" s="14">
        <f>VLOOKUP(L277,照明器具一覧!$B$4:$F$129,5,FALSE)</f>
        <v>36</v>
      </c>
      <c r="N277" s="14">
        <v>1</v>
      </c>
      <c r="O277" s="142">
        <f t="shared" si="9"/>
        <v>34.847999999999999</v>
      </c>
    </row>
    <row r="278" spans="1:15">
      <c r="A278" s="2" t="s">
        <v>899</v>
      </c>
      <c r="B278" s="78" t="s">
        <v>1499</v>
      </c>
      <c r="C278" s="48"/>
      <c r="D278" s="2" t="s">
        <v>332</v>
      </c>
      <c r="E278" s="2" t="s">
        <v>603</v>
      </c>
      <c r="F278" s="49" t="s">
        <v>311</v>
      </c>
      <c r="G278" s="50" t="s">
        <v>304</v>
      </c>
      <c r="H278" s="5">
        <v>1</v>
      </c>
      <c r="I278" s="2" t="s">
        <v>316</v>
      </c>
      <c r="J278" s="24">
        <v>2</v>
      </c>
      <c r="K278" s="32">
        <f>VLOOKUP(E278,照明設備稼働時間!$A$4:$E$31,5,FALSE)</f>
        <v>968</v>
      </c>
      <c r="L278" s="32" t="str">
        <f t="shared" si="8"/>
        <v>LED電球1レセップ</v>
      </c>
      <c r="M278" s="14">
        <f>VLOOKUP(L278,照明器具一覧!$B$4:$F$129,5,FALSE)</f>
        <v>4.5999999999999996</v>
      </c>
      <c r="N278" s="14">
        <v>0.5</v>
      </c>
      <c r="O278" s="142">
        <f t="shared" si="9"/>
        <v>4.452799999999999</v>
      </c>
    </row>
    <row r="279" spans="1:15">
      <c r="A279" s="2" t="s">
        <v>900</v>
      </c>
      <c r="B279" s="78" t="s">
        <v>1499</v>
      </c>
      <c r="C279" s="48" t="s">
        <v>282</v>
      </c>
      <c r="D279" s="2" t="s">
        <v>332</v>
      </c>
      <c r="E279" s="2" t="s">
        <v>603</v>
      </c>
      <c r="F279" s="49" t="s">
        <v>310</v>
      </c>
      <c r="G279" s="50" t="s">
        <v>21</v>
      </c>
      <c r="H279" s="5">
        <v>1</v>
      </c>
      <c r="I279" s="2" t="s">
        <v>301</v>
      </c>
      <c r="J279" s="24">
        <v>1</v>
      </c>
      <c r="K279" s="32">
        <f>VLOOKUP(E279,照明設備稼働時間!$A$4:$E$31,5,FALSE)</f>
        <v>968</v>
      </c>
      <c r="L279" s="32" t="str">
        <f t="shared" si="8"/>
        <v>FHF32W1逆富士</v>
      </c>
      <c r="M279" s="14">
        <f>VLOOKUP(L279,照明器具一覧!$B$4:$F$129,5,FALSE)</f>
        <v>36</v>
      </c>
      <c r="N279" s="14">
        <v>1</v>
      </c>
      <c r="O279" s="142">
        <f t="shared" si="9"/>
        <v>34.847999999999999</v>
      </c>
    </row>
    <row r="280" spans="1:15">
      <c r="A280" s="2" t="s">
        <v>901</v>
      </c>
      <c r="B280" s="78" t="s">
        <v>1499</v>
      </c>
      <c r="C280" s="48"/>
      <c r="D280" s="2" t="s">
        <v>332</v>
      </c>
      <c r="E280" s="2" t="s">
        <v>603</v>
      </c>
      <c r="F280" s="49" t="s">
        <v>310</v>
      </c>
      <c r="G280" s="50" t="s">
        <v>304</v>
      </c>
      <c r="H280" s="5">
        <v>1</v>
      </c>
      <c r="I280" s="2" t="s">
        <v>316</v>
      </c>
      <c r="J280" s="24">
        <v>3</v>
      </c>
      <c r="K280" s="32">
        <f>VLOOKUP(E280,照明設備稼働時間!$A$4:$E$31,5,FALSE)</f>
        <v>968</v>
      </c>
      <c r="L280" s="32" t="str">
        <f t="shared" si="8"/>
        <v>LED電球1レセップ</v>
      </c>
      <c r="M280" s="14">
        <f>VLOOKUP(L280,照明器具一覧!$B$4:$F$129,5,FALSE)</f>
        <v>4.5999999999999996</v>
      </c>
      <c r="N280" s="14">
        <v>0.66</v>
      </c>
      <c r="O280" s="142">
        <f t="shared" si="9"/>
        <v>8.8165440000000004</v>
      </c>
    </row>
    <row r="281" spans="1:15">
      <c r="A281" s="2" t="s">
        <v>902</v>
      </c>
      <c r="B281" s="78" t="s">
        <v>1499</v>
      </c>
      <c r="C281" s="48" t="s">
        <v>283</v>
      </c>
      <c r="D281" s="2" t="s">
        <v>332</v>
      </c>
      <c r="E281" s="2" t="s">
        <v>601</v>
      </c>
      <c r="F281" s="49" t="s">
        <v>273</v>
      </c>
      <c r="G281" s="50" t="s">
        <v>21</v>
      </c>
      <c r="H281" s="5">
        <v>1</v>
      </c>
      <c r="I281" s="2" t="s">
        <v>302</v>
      </c>
      <c r="J281" s="24">
        <v>3</v>
      </c>
      <c r="K281" s="32">
        <f>VLOOKUP(E281,照明設備稼働時間!$A$4:$E$31,5,FALSE)</f>
        <v>2299</v>
      </c>
      <c r="L281" s="32" t="str">
        <f t="shared" si="8"/>
        <v>FHF32W1埋込W190</v>
      </c>
      <c r="M281" s="14">
        <f>VLOOKUP(L281,照明器具一覧!$B$4:$F$129,5,FALSE)</f>
        <v>36</v>
      </c>
      <c r="N281" s="14">
        <v>1</v>
      </c>
      <c r="O281" s="142">
        <f t="shared" si="9"/>
        <v>248.292</v>
      </c>
    </row>
    <row r="282" spans="1:15">
      <c r="A282" s="2" t="s">
        <v>903</v>
      </c>
      <c r="B282" s="78" t="s">
        <v>1499</v>
      </c>
      <c r="C282" s="48" t="s">
        <v>285</v>
      </c>
      <c r="D282" s="2" t="s">
        <v>332</v>
      </c>
      <c r="E282" s="2" t="s">
        <v>601</v>
      </c>
      <c r="F282" s="49" t="s">
        <v>274</v>
      </c>
      <c r="G282" s="50" t="s">
        <v>21</v>
      </c>
      <c r="H282" s="5">
        <v>1</v>
      </c>
      <c r="I282" s="2" t="s">
        <v>551</v>
      </c>
      <c r="J282" s="24">
        <v>1</v>
      </c>
      <c r="K282" s="32">
        <f>VLOOKUP(E282,照明設備稼働時間!$A$4:$E$31,5,FALSE)</f>
        <v>2299</v>
      </c>
      <c r="L282" s="32" t="str">
        <f t="shared" si="8"/>
        <v>FHF32W1階段灯　非常灯付</v>
      </c>
      <c r="M282" s="14">
        <f>VLOOKUP(L282,照明器具一覧!$B$4:$F$129,5,FALSE)</f>
        <v>36</v>
      </c>
      <c r="N282" s="14">
        <v>1</v>
      </c>
      <c r="O282" s="142">
        <f t="shared" si="9"/>
        <v>82.763999999999996</v>
      </c>
    </row>
    <row r="283" spans="1:15">
      <c r="A283" s="2" t="s">
        <v>904</v>
      </c>
      <c r="B283" s="78" t="s">
        <v>1499</v>
      </c>
      <c r="C283" s="48" t="s">
        <v>286</v>
      </c>
      <c r="D283" s="2" t="s">
        <v>332</v>
      </c>
      <c r="E283" s="2" t="s">
        <v>601</v>
      </c>
      <c r="F283" s="49" t="s">
        <v>274</v>
      </c>
      <c r="G283" s="50" t="s">
        <v>21</v>
      </c>
      <c r="H283" s="5">
        <v>1</v>
      </c>
      <c r="I283" s="2" t="s">
        <v>551</v>
      </c>
      <c r="J283" s="24">
        <v>1</v>
      </c>
      <c r="K283" s="32">
        <f>VLOOKUP(E283,照明設備稼働時間!$A$4:$E$31,5,FALSE)</f>
        <v>2299</v>
      </c>
      <c r="L283" s="32" t="str">
        <f t="shared" si="8"/>
        <v>FHF32W1階段灯　非常灯付</v>
      </c>
      <c r="M283" s="14">
        <f>VLOOKUP(L283,照明器具一覧!$B$4:$F$129,5,FALSE)</f>
        <v>36</v>
      </c>
      <c r="N283" s="14">
        <v>1</v>
      </c>
      <c r="O283" s="142">
        <f t="shared" si="9"/>
        <v>82.763999999999996</v>
      </c>
    </row>
    <row r="284" spans="1:15">
      <c r="A284" s="2" t="s">
        <v>905</v>
      </c>
      <c r="B284" s="78" t="s">
        <v>1499</v>
      </c>
      <c r="C284" s="48" t="s">
        <v>282</v>
      </c>
      <c r="D284" s="2" t="s">
        <v>332</v>
      </c>
      <c r="E284" s="29" t="s">
        <v>1513</v>
      </c>
      <c r="F284" s="49" t="s">
        <v>312</v>
      </c>
      <c r="G284" s="50" t="s">
        <v>21</v>
      </c>
      <c r="H284" s="5">
        <v>1</v>
      </c>
      <c r="I284" s="2" t="s">
        <v>301</v>
      </c>
      <c r="J284" s="24">
        <v>1</v>
      </c>
      <c r="K284" s="32">
        <f>VLOOKUP(E284,照明設備稼働時間!$A$4:$E$31,5,FALSE)</f>
        <v>484</v>
      </c>
      <c r="L284" s="32" t="str">
        <f t="shared" si="8"/>
        <v>FHF32W1逆富士</v>
      </c>
      <c r="M284" s="14">
        <f>VLOOKUP(L284,照明器具一覧!$B$4:$F$129,5,FALSE)</f>
        <v>36</v>
      </c>
      <c r="N284" s="14">
        <v>1</v>
      </c>
      <c r="O284" s="142">
        <f t="shared" si="9"/>
        <v>17.423999999999999</v>
      </c>
    </row>
    <row r="285" spans="1:15">
      <c r="A285" s="2" t="s">
        <v>906</v>
      </c>
      <c r="B285" s="78" t="s">
        <v>1499</v>
      </c>
      <c r="C285" s="48" t="s">
        <v>282</v>
      </c>
      <c r="D285" s="2" t="s">
        <v>332</v>
      </c>
      <c r="E285" s="2" t="s">
        <v>44</v>
      </c>
      <c r="F285" s="49" t="s">
        <v>313</v>
      </c>
      <c r="G285" s="50" t="s">
        <v>21</v>
      </c>
      <c r="H285" s="5">
        <v>1</v>
      </c>
      <c r="I285" s="2" t="s">
        <v>301</v>
      </c>
      <c r="J285" s="24">
        <v>1</v>
      </c>
      <c r="K285" s="32">
        <f>VLOOKUP(E285,照明設備稼働時間!$A$4:$E$31,5,FALSE)</f>
        <v>242</v>
      </c>
      <c r="L285" s="32" t="str">
        <f t="shared" si="8"/>
        <v>FHF32W1逆富士</v>
      </c>
      <c r="M285" s="14">
        <f>VLOOKUP(L285,照明器具一覧!$B$4:$F$129,5,FALSE)</f>
        <v>36</v>
      </c>
      <c r="N285" s="14">
        <v>1</v>
      </c>
      <c r="O285" s="142">
        <f t="shared" si="9"/>
        <v>8.7119999999999997</v>
      </c>
    </row>
    <row r="286" spans="1:15">
      <c r="A286" s="2" t="s">
        <v>907</v>
      </c>
      <c r="B286" s="78" t="s">
        <v>1499</v>
      </c>
      <c r="C286" s="48" t="s">
        <v>337</v>
      </c>
      <c r="D286" s="2" t="s">
        <v>332</v>
      </c>
      <c r="E286" s="2" t="s">
        <v>1507</v>
      </c>
      <c r="F286" s="49" t="s">
        <v>61</v>
      </c>
      <c r="G286" s="50" t="s">
        <v>19</v>
      </c>
      <c r="H286" s="5">
        <v>1</v>
      </c>
      <c r="I286" s="2" t="s">
        <v>336</v>
      </c>
      <c r="J286" s="24">
        <v>1</v>
      </c>
      <c r="K286" s="32">
        <f>VLOOKUP(E286,照明設備稼働時間!$A$4:$E$31,5,FALSE)</f>
        <v>0</v>
      </c>
      <c r="L286" s="32" t="str">
        <f t="shared" si="8"/>
        <v>FHF16W1笠付（高出力）</v>
      </c>
      <c r="M286" s="14">
        <f>VLOOKUP(L286,照明器具一覧!$B$4:$F$129,5,FALSE)</f>
        <v>26</v>
      </c>
      <c r="N286" s="14">
        <v>1</v>
      </c>
      <c r="O286" s="142">
        <f t="shared" si="9"/>
        <v>0</v>
      </c>
    </row>
    <row r="287" spans="1:15">
      <c r="A287" s="2" t="s">
        <v>908</v>
      </c>
      <c r="B287" s="78" t="s">
        <v>1499</v>
      </c>
      <c r="C287" s="48" t="s">
        <v>287</v>
      </c>
      <c r="D287" s="2" t="s">
        <v>332</v>
      </c>
      <c r="E287" s="2" t="s">
        <v>600</v>
      </c>
      <c r="F287" s="49" t="s">
        <v>333</v>
      </c>
      <c r="G287" s="50" t="s">
        <v>21</v>
      </c>
      <c r="H287" s="5">
        <v>2</v>
      </c>
      <c r="I287" s="2" t="s">
        <v>305</v>
      </c>
      <c r="J287" s="43">
        <v>58</v>
      </c>
      <c r="K287" s="32">
        <f>VLOOKUP(E287,照明設備稼働時間!$A$4:$E$31,5,FALSE)</f>
        <v>2299</v>
      </c>
      <c r="L287" s="32" t="str">
        <f t="shared" si="8"/>
        <v>FHF32W2システム天井</v>
      </c>
      <c r="M287" s="14">
        <f>VLOOKUP(L287,照明器具一覧!$B$4:$F$129,5,FALSE)</f>
        <v>72</v>
      </c>
      <c r="N287" s="14">
        <v>1</v>
      </c>
      <c r="O287" s="142">
        <f t="shared" si="9"/>
        <v>9600.6239999999998</v>
      </c>
    </row>
    <row r="288" spans="1:15">
      <c r="A288" s="2" t="s">
        <v>909</v>
      </c>
      <c r="B288" s="78" t="s">
        <v>1499</v>
      </c>
      <c r="C288" s="48" t="s">
        <v>288</v>
      </c>
      <c r="D288" s="2" t="s">
        <v>332</v>
      </c>
      <c r="E288" s="2" t="s">
        <v>600</v>
      </c>
      <c r="F288" s="49" t="s">
        <v>333</v>
      </c>
      <c r="G288" s="50" t="s">
        <v>19</v>
      </c>
      <c r="H288" s="5">
        <v>2</v>
      </c>
      <c r="I288" s="2" t="s">
        <v>305</v>
      </c>
      <c r="J288" s="24">
        <v>2</v>
      </c>
      <c r="K288" s="32">
        <f>VLOOKUP(E288,照明設備稼働時間!$A$4:$E$31,5,FALSE)</f>
        <v>2299</v>
      </c>
      <c r="L288" s="32" t="str">
        <f t="shared" si="8"/>
        <v>FHF16W2システム天井</v>
      </c>
      <c r="M288" s="14">
        <f>VLOOKUP(L288,照明器具一覧!$B$4:$F$129,5,FALSE)</f>
        <v>26</v>
      </c>
      <c r="N288" s="14">
        <v>1</v>
      </c>
      <c r="O288" s="142">
        <f t="shared" si="9"/>
        <v>119.548</v>
      </c>
    </row>
    <row r="289" spans="1:15">
      <c r="A289" s="2" t="s">
        <v>910</v>
      </c>
      <c r="B289" s="78" t="s">
        <v>1499</v>
      </c>
      <c r="C289" s="48" t="s">
        <v>290</v>
      </c>
      <c r="D289" s="2" t="s">
        <v>332</v>
      </c>
      <c r="E289" s="2" t="s">
        <v>600</v>
      </c>
      <c r="F289" s="49" t="s">
        <v>333</v>
      </c>
      <c r="G289" s="50" t="s">
        <v>21</v>
      </c>
      <c r="H289" s="5">
        <v>1</v>
      </c>
      <c r="I289" s="2" t="s">
        <v>89</v>
      </c>
      <c r="J289" s="24">
        <v>16</v>
      </c>
      <c r="K289" s="32">
        <f>VLOOKUP(E289,照明設備稼働時間!$A$4:$E$31,5,FALSE)</f>
        <v>2299</v>
      </c>
      <c r="L289" s="32" t="str">
        <f t="shared" si="8"/>
        <v>FHF32W1トラフ</v>
      </c>
      <c r="M289" s="14">
        <f>VLOOKUP(L289,照明器具一覧!$B$4:$F$129,5,FALSE)</f>
        <v>36</v>
      </c>
      <c r="N289" s="14">
        <v>1</v>
      </c>
      <c r="O289" s="142">
        <f t="shared" si="9"/>
        <v>1324.2239999999999</v>
      </c>
    </row>
    <row r="290" spans="1:15">
      <c r="A290" s="2" t="s">
        <v>911</v>
      </c>
      <c r="B290" s="78" t="s">
        <v>1499</v>
      </c>
      <c r="C290" s="48"/>
      <c r="D290" s="2" t="s">
        <v>346</v>
      </c>
      <c r="E290" s="2" t="s">
        <v>600</v>
      </c>
      <c r="F290" s="49" t="s">
        <v>388</v>
      </c>
      <c r="G290" s="50" t="s">
        <v>503</v>
      </c>
      <c r="H290" s="5">
        <v>1</v>
      </c>
      <c r="I290" s="2" t="s">
        <v>88</v>
      </c>
      <c r="J290" s="24">
        <v>6</v>
      </c>
      <c r="K290" s="32">
        <f>VLOOKUP(E290,照明設備稼働時間!$A$4:$E$31,5,FALSE)</f>
        <v>2299</v>
      </c>
      <c r="L290" s="32" t="str">
        <f t="shared" si="8"/>
        <v>FLR110W1笠付</v>
      </c>
      <c r="M290" s="14">
        <f>VLOOKUP(L290,照明器具一覧!$B$4:$F$129,5,FALSE)</f>
        <v>121</v>
      </c>
      <c r="N290" s="14">
        <v>1</v>
      </c>
      <c r="O290" s="142">
        <f t="shared" si="9"/>
        <v>1669.0740000000001</v>
      </c>
    </row>
    <row r="291" spans="1:15">
      <c r="A291" s="2" t="s">
        <v>912</v>
      </c>
      <c r="B291" s="78" t="s">
        <v>1499</v>
      </c>
      <c r="C291" s="48" t="s">
        <v>287</v>
      </c>
      <c r="D291" s="2" t="s">
        <v>332</v>
      </c>
      <c r="E291" s="2" t="s">
        <v>600</v>
      </c>
      <c r="F291" s="49" t="s">
        <v>321</v>
      </c>
      <c r="G291" s="50" t="s">
        <v>21</v>
      </c>
      <c r="H291" s="5">
        <v>2</v>
      </c>
      <c r="I291" s="2" t="s">
        <v>305</v>
      </c>
      <c r="J291" s="24">
        <v>36</v>
      </c>
      <c r="K291" s="32">
        <f>VLOOKUP(E291,照明設備稼働時間!$A$4:$E$31,5,FALSE)</f>
        <v>2299</v>
      </c>
      <c r="L291" s="32" t="str">
        <f t="shared" si="8"/>
        <v>FHF32W2システム天井</v>
      </c>
      <c r="M291" s="14">
        <f>VLOOKUP(L291,照明器具一覧!$B$4:$F$129,5,FALSE)</f>
        <v>72</v>
      </c>
      <c r="N291" s="14">
        <v>1</v>
      </c>
      <c r="O291" s="142">
        <f t="shared" si="9"/>
        <v>5959.0079999999998</v>
      </c>
    </row>
    <row r="292" spans="1:15">
      <c r="A292" s="2" t="s">
        <v>913</v>
      </c>
      <c r="B292" s="78" t="s">
        <v>1499</v>
      </c>
      <c r="C292" s="48" t="s">
        <v>288</v>
      </c>
      <c r="D292" s="2" t="s">
        <v>332</v>
      </c>
      <c r="E292" s="2" t="s">
        <v>600</v>
      </c>
      <c r="F292" s="49" t="s">
        <v>321</v>
      </c>
      <c r="G292" s="50" t="s">
        <v>19</v>
      </c>
      <c r="H292" s="5">
        <v>2</v>
      </c>
      <c r="I292" s="2" t="s">
        <v>305</v>
      </c>
      <c r="J292" s="24">
        <v>4</v>
      </c>
      <c r="K292" s="32">
        <f>VLOOKUP(E292,照明設備稼働時間!$A$4:$E$31,5,FALSE)</f>
        <v>2299</v>
      </c>
      <c r="L292" s="32" t="str">
        <f t="shared" si="8"/>
        <v>FHF16W2システム天井</v>
      </c>
      <c r="M292" s="14">
        <f>VLOOKUP(L292,照明器具一覧!$B$4:$F$129,5,FALSE)</f>
        <v>26</v>
      </c>
      <c r="N292" s="14">
        <v>1</v>
      </c>
      <c r="O292" s="142">
        <f t="shared" si="9"/>
        <v>239.096</v>
      </c>
    </row>
    <row r="293" spans="1:15">
      <c r="A293" s="2" t="s">
        <v>914</v>
      </c>
      <c r="B293" s="78" t="s">
        <v>1499</v>
      </c>
      <c r="C293" s="48" t="s">
        <v>290</v>
      </c>
      <c r="D293" s="2" t="s">
        <v>332</v>
      </c>
      <c r="E293" s="2" t="s">
        <v>600</v>
      </c>
      <c r="F293" s="49" t="s">
        <v>321</v>
      </c>
      <c r="G293" s="50" t="s">
        <v>21</v>
      </c>
      <c r="H293" s="5">
        <v>1</v>
      </c>
      <c r="I293" s="2" t="s">
        <v>89</v>
      </c>
      <c r="J293" s="24">
        <v>26</v>
      </c>
      <c r="K293" s="32">
        <f>VLOOKUP(E293,照明設備稼働時間!$A$4:$E$31,5,FALSE)</f>
        <v>2299</v>
      </c>
      <c r="L293" s="32" t="str">
        <f t="shared" si="8"/>
        <v>FHF32W1トラフ</v>
      </c>
      <c r="M293" s="14">
        <f>VLOOKUP(L293,照明器具一覧!$B$4:$F$129,5,FALSE)</f>
        <v>36</v>
      </c>
      <c r="N293" s="14">
        <v>1</v>
      </c>
      <c r="O293" s="142">
        <f t="shared" si="9"/>
        <v>2151.864</v>
      </c>
    </row>
    <row r="294" spans="1:15">
      <c r="A294" s="2" t="s">
        <v>915</v>
      </c>
      <c r="B294" s="78" t="s">
        <v>1499</v>
      </c>
      <c r="C294" s="48"/>
      <c r="D294" s="2" t="s">
        <v>346</v>
      </c>
      <c r="E294" s="2" t="s">
        <v>600</v>
      </c>
      <c r="F294" s="49" t="s">
        <v>387</v>
      </c>
      <c r="G294" s="50" t="s">
        <v>503</v>
      </c>
      <c r="H294" s="5">
        <v>1</v>
      </c>
      <c r="I294" s="2" t="s">
        <v>88</v>
      </c>
      <c r="J294" s="24">
        <v>4</v>
      </c>
      <c r="K294" s="32">
        <f>VLOOKUP(E294,照明設備稼働時間!$A$4:$E$31,5,FALSE)</f>
        <v>2299</v>
      </c>
      <c r="L294" s="32" t="str">
        <f t="shared" si="8"/>
        <v>FLR110W1笠付</v>
      </c>
      <c r="M294" s="14">
        <f>VLOOKUP(L294,照明器具一覧!$B$4:$F$129,5,FALSE)</f>
        <v>121</v>
      </c>
      <c r="N294" s="14">
        <v>1</v>
      </c>
      <c r="O294" s="142">
        <f t="shared" si="9"/>
        <v>1112.7159999999999</v>
      </c>
    </row>
    <row r="295" spans="1:15">
      <c r="A295" s="2" t="s">
        <v>916</v>
      </c>
      <c r="B295" s="78" t="s">
        <v>1499</v>
      </c>
      <c r="C295" s="48"/>
      <c r="D295" s="2" t="s">
        <v>332</v>
      </c>
      <c r="E295" s="2" t="s">
        <v>601</v>
      </c>
      <c r="F295" s="49" t="s">
        <v>334</v>
      </c>
      <c r="G295" s="50" t="s">
        <v>125</v>
      </c>
      <c r="H295" s="5">
        <v>1</v>
      </c>
      <c r="I295" s="2" t="s">
        <v>340</v>
      </c>
      <c r="J295" s="24">
        <v>58</v>
      </c>
      <c r="K295" s="32">
        <f>VLOOKUP(E295,照明設備稼働時間!$A$4:$E$31,5,FALSE)</f>
        <v>2299</v>
      </c>
      <c r="L295" s="32" t="str">
        <f t="shared" si="8"/>
        <v>MF100W1ダウンライト　□275</v>
      </c>
      <c r="M295" s="14">
        <f>VLOOKUP(L295,照明器具一覧!$B$4:$F$129,5,FALSE)</f>
        <v>100</v>
      </c>
      <c r="N295" s="14">
        <v>0.5</v>
      </c>
      <c r="O295" s="142">
        <f t="shared" si="9"/>
        <v>6667.1</v>
      </c>
    </row>
    <row r="296" spans="1:15">
      <c r="A296" s="2" t="s">
        <v>917</v>
      </c>
      <c r="B296" s="78" t="s">
        <v>1499</v>
      </c>
      <c r="C296" s="48" t="s">
        <v>282</v>
      </c>
      <c r="D296" s="2" t="s">
        <v>332</v>
      </c>
      <c r="E296" s="2" t="s">
        <v>606</v>
      </c>
      <c r="F296" s="49" t="s">
        <v>314</v>
      </c>
      <c r="G296" s="50" t="s">
        <v>21</v>
      </c>
      <c r="H296" s="5">
        <v>1</v>
      </c>
      <c r="I296" s="2" t="s">
        <v>301</v>
      </c>
      <c r="J296" s="24">
        <v>2</v>
      </c>
      <c r="K296" s="32">
        <f>VLOOKUP(E296,照明設備稼働時間!$A$4:$E$31,5,FALSE)</f>
        <v>242</v>
      </c>
      <c r="L296" s="32" t="str">
        <f t="shared" si="8"/>
        <v>FHF32W1逆富士</v>
      </c>
      <c r="M296" s="14">
        <f>VLOOKUP(L296,照明器具一覧!$B$4:$F$129,5,FALSE)</f>
        <v>36</v>
      </c>
      <c r="N296" s="14">
        <v>1</v>
      </c>
      <c r="O296" s="142">
        <f t="shared" si="9"/>
        <v>17.423999999999999</v>
      </c>
    </row>
    <row r="297" spans="1:15">
      <c r="A297" s="2" t="s">
        <v>918</v>
      </c>
      <c r="B297" s="78" t="s">
        <v>1499</v>
      </c>
      <c r="C297" s="48" t="s">
        <v>291</v>
      </c>
      <c r="D297" s="2" t="s">
        <v>332</v>
      </c>
      <c r="E297" s="2" t="s">
        <v>1507</v>
      </c>
      <c r="F297" s="49" t="s">
        <v>64</v>
      </c>
      <c r="G297" s="50" t="s">
        <v>21</v>
      </c>
      <c r="H297" s="5">
        <v>1</v>
      </c>
      <c r="I297" s="2" t="s">
        <v>253</v>
      </c>
      <c r="J297" s="24">
        <v>1</v>
      </c>
      <c r="K297" s="32">
        <f>VLOOKUP(E297,照明設備稼働時間!$A$4:$E$31,5,FALSE)</f>
        <v>0</v>
      </c>
      <c r="L297" s="32" t="str">
        <f t="shared" si="8"/>
        <v>FHF32W1片反射笠付</v>
      </c>
      <c r="M297" s="14">
        <f>VLOOKUP(L297,照明器具一覧!$B$4:$F$129,5,FALSE)</f>
        <v>36</v>
      </c>
      <c r="N297" s="14">
        <v>1</v>
      </c>
      <c r="O297" s="142">
        <f t="shared" si="9"/>
        <v>0</v>
      </c>
    </row>
    <row r="298" spans="1:15">
      <c r="A298" s="2" t="s">
        <v>919</v>
      </c>
      <c r="B298" s="78" t="s">
        <v>1499</v>
      </c>
      <c r="C298" s="48" t="s">
        <v>285</v>
      </c>
      <c r="D298" s="2" t="s">
        <v>332</v>
      </c>
      <c r="E298" s="2" t="s">
        <v>601</v>
      </c>
      <c r="F298" s="49" t="s">
        <v>279</v>
      </c>
      <c r="G298" s="50" t="s">
        <v>21</v>
      </c>
      <c r="H298" s="5">
        <v>1</v>
      </c>
      <c r="I298" s="2" t="s">
        <v>551</v>
      </c>
      <c r="J298" s="24">
        <v>1</v>
      </c>
      <c r="K298" s="32">
        <f>VLOOKUP(E298,照明設備稼働時間!$A$4:$E$31,5,FALSE)</f>
        <v>2299</v>
      </c>
      <c r="L298" s="32" t="str">
        <f t="shared" si="8"/>
        <v>FHF32W1階段灯　非常灯付</v>
      </c>
      <c r="M298" s="14">
        <f>VLOOKUP(L298,照明器具一覧!$B$4:$F$129,5,FALSE)</f>
        <v>36</v>
      </c>
      <c r="N298" s="14">
        <v>1</v>
      </c>
      <c r="O298" s="142">
        <f t="shared" si="9"/>
        <v>82.763999999999996</v>
      </c>
    </row>
    <row r="299" spans="1:15">
      <c r="A299" s="2" t="s">
        <v>920</v>
      </c>
      <c r="B299" s="78" t="s">
        <v>1499</v>
      </c>
      <c r="C299" s="48" t="s">
        <v>286</v>
      </c>
      <c r="D299" s="2" t="s">
        <v>332</v>
      </c>
      <c r="E299" s="2" t="s">
        <v>601</v>
      </c>
      <c r="F299" s="49" t="s">
        <v>279</v>
      </c>
      <c r="G299" s="50" t="s">
        <v>21</v>
      </c>
      <c r="H299" s="5">
        <v>1</v>
      </c>
      <c r="I299" s="2" t="s">
        <v>551</v>
      </c>
      <c r="J299" s="24">
        <v>1</v>
      </c>
      <c r="K299" s="32">
        <f>VLOOKUP(E299,照明設備稼働時間!$A$4:$E$31,5,FALSE)</f>
        <v>2299</v>
      </c>
      <c r="L299" s="32" t="str">
        <f t="shared" si="8"/>
        <v>FHF32W1階段灯　非常灯付</v>
      </c>
      <c r="M299" s="14">
        <f>VLOOKUP(L299,照明器具一覧!$B$4:$F$129,5,FALSE)</f>
        <v>36</v>
      </c>
      <c r="N299" s="14">
        <v>1</v>
      </c>
      <c r="O299" s="142">
        <f t="shared" si="9"/>
        <v>82.763999999999996</v>
      </c>
    </row>
    <row r="300" spans="1:15">
      <c r="A300" s="2" t="s">
        <v>921</v>
      </c>
      <c r="B300" s="78" t="s">
        <v>1499</v>
      </c>
      <c r="C300" s="48" t="s">
        <v>292</v>
      </c>
      <c r="D300" s="2" t="s">
        <v>332</v>
      </c>
      <c r="E300" s="2" t="s">
        <v>601</v>
      </c>
      <c r="F300" s="49" t="s">
        <v>278</v>
      </c>
      <c r="G300" s="50" t="s">
        <v>19</v>
      </c>
      <c r="H300" s="5">
        <v>1</v>
      </c>
      <c r="I300" s="2" t="s">
        <v>307</v>
      </c>
      <c r="J300" s="24">
        <v>1</v>
      </c>
      <c r="K300" s="32">
        <f>VLOOKUP(E300,照明設備稼働時間!$A$4:$E$31,5,FALSE)</f>
        <v>2299</v>
      </c>
      <c r="L300" s="32" t="str">
        <f t="shared" si="8"/>
        <v>FHF16W1埋込W　高出力</v>
      </c>
      <c r="M300" s="14">
        <f>VLOOKUP(L300,照明器具一覧!$B$4:$F$129,5,FALSE)</f>
        <v>26</v>
      </c>
      <c r="N300" s="14">
        <v>1</v>
      </c>
      <c r="O300" s="142">
        <f t="shared" si="9"/>
        <v>59.774000000000001</v>
      </c>
    </row>
    <row r="301" spans="1:15">
      <c r="A301" s="2" t="s">
        <v>922</v>
      </c>
      <c r="B301" s="78" t="s">
        <v>1499</v>
      </c>
      <c r="C301" s="48" t="s">
        <v>283</v>
      </c>
      <c r="D301" s="2" t="s">
        <v>332</v>
      </c>
      <c r="E301" s="2" t="s">
        <v>1508</v>
      </c>
      <c r="F301" s="49" t="s">
        <v>65</v>
      </c>
      <c r="G301" s="50" t="s">
        <v>21</v>
      </c>
      <c r="H301" s="5">
        <v>1</v>
      </c>
      <c r="I301" s="2" t="s">
        <v>302</v>
      </c>
      <c r="J301" s="24">
        <v>2</v>
      </c>
      <c r="K301" s="32">
        <f>VLOOKUP(E301,照明設備稼働時間!$A$4:$E$31,5,FALSE)</f>
        <v>8760</v>
      </c>
      <c r="L301" s="32" t="str">
        <f t="shared" si="8"/>
        <v>FHF32W1埋込W190</v>
      </c>
      <c r="M301" s="14">
        <f>VLOOKUP(L301,照明器具一覧!$B$4:$F$129,5,FALSE)</f>
        <v>36</v>
      </c>
      <c r="N301" s="14">
        <v>1</v>
      </c>
      <c r="O301" s="142">
        <f t="shared" si="9"/>
        <v>630.72</v>
      </c>
    </row>
    <row r="302" spans="1:15">
      <c r="A302" s="2" t="s">
        <v>923</v>
      </c>
      <c r="B302" s="78" t="s">
        <v>1499</v>
      </c>
      <c r="C302" s="48"/>
      <c r="D302" s="2" t="s">
        <v>346</v>
      </c>
      <c r="E302" s="2" t="s">
        <v>1508</v>
      </c>
      <c r="F302" s="49" t="s">
        <v>65</v>
      </c>
      <c r="G302" s="50" t="s">
        <v>72</v>
      </c>
      <c r="H302" s="5">
        <v>1</v>
      </c>
      <c r="I302" s="2" t="s">
        <v>73</v>
      </c>
      <c r="J302" s="24">
        <v>1</v>
      </c>
      <c r="K302" s="32">
        <f>VLOOKUP(E302,照明設備稼働時間!$A$4:$E$31,5,FALSE)</f>
        <v>8760</v>
      </c>
      <c r="L302" s="32" t="str">
        <f t="shared" si="8"/>
        <v>IL60W1ダウンライト</v>
      </c>
      <c r="M302" s="14">
        <f>VLOOKUP(L302,照明器具一覧!$B$4:$F$129,5,FALSE)</f>
        <v>60</v>
      </c>
      <c r="N302" s="14">
        <v>1</v>
      </c>
      <c r="O302" s="142">
        <f t="shared" si="9"/>
        <v>525.6</v>
      </c>
    </row>
    <row r="303" spans="1:15">
      <c r="A303" s="2" t="s">
        <v>924</v>
      </c>
      <c r="B303" s="78" t="s">
        <v>1499</v>
      </c>
      <c r="C303" s="48" t="s">
        <v>287</v>
      </c>
      <c r="D303" s="2" t="s">
        <v>332</v>
      </c>
      <c r="E303" s="2" t="s">
        <v>600</v>
      </c>
      <c r="F303" s="49" t="s">
        <v>333</v>
      </c>
      <c r="G303" s="50" t="s">
        <v>21</v>
      </c>
      <c r="H303" s="5">
        <v>2</v>
      </c>
      <c r="I303" s="2" t="s">
        <v>305</v>
      </c>
      <c r="J303" s="24">
        <v>120</v>
      </c>
      <c r="K303" s="32">
        <f>VLOOKUP(E303,照明設備稼働時間!$A$4:$E$31,5,FALSE)</f>
        <v>2299</v>
      </c>
      <c r="L303" s="32" t="str">
        <f t="shared" si="8"/>
        <v>FHF32W2システム天井</v>
      </c>
      <c r="M303" s="14">
        <f>VLOOKUP(L303,照明器具一覧!$B$4:$F$129,5,FALSE)</f>
        <v>72</v>
      </c>
      <c r="N303" s="14">
        <v>1</v>
      </c>
      <c r="O303" s="142">
        <f t="shared" si="9"/>
        <v>19863.36</v>
      </c>
    </row>
    <row r="304" spans="1:15">
      <c r="A304" s="2" t="s">
        <v>925</v>
      </c>
      <c r="B304" s="78" t="s">
        <v>1499</v>
      </c>
      <c r="C304" s="48" t="s">
        <v>290</v>
      </c>
      <c r="D304" s="2" t="s">
        <v>332</v>
      </c>
      <c r="E304" s="2" t="s">
        <v>600</v>
      </c>
      <c r="F304" s="49" t="s">
        <v>333</v>
      </c>
      <c r="G304" s="50" t="s">
        <v>21</v>
      </c>
      <c r="H304" s="5">
        <v>1</v>
      </c>
      <c r="I304" s="2" t="s">
        <v>89</v>
      </c>
      <c r="J304" s="24">
        <v>58</v>
      </c>
      <c r="K304" s="32">
        <f>VLOOKUP(E304,照明設備稼働時間!$A$4:$E$31,5,FALSE)</f>
        <v>2299</v>
      </c>
      <c r="L304" s="32" t="str">
        <f t="shared" si="8"/>
        <v>FHF32W1トラフ</v>
      </c>
      <c r="M304" s="14">
        <f>VLOOKUP(L304,照明器具一覧!$B$4:$F$129,5,FALSE)</f>
        <v>36</v>
      </c>
      <c r="N304" s="14">
        <v>1</v>
      </c>
      <c r="O304" s="142">
        <f t="shared" si="9"/>
        <v>4800.3119999999999</v>
      </c>
    </row>
    <row r="305" spans="1:15">
      <c r="A305" s="2" t="s">
        <v>926</v>
      </c>
      <c r="B305" s="78" t="s">
        <v>1499</v>
      </c>
      <c r="C305" s="29" t="s">
        <v>67</v>
      </c>
      <c r="D305" s="2" t="s">
        <v>332</v>
      </c>
      <c r="E305" s="2" t="s">
        <v>77</v>
      </c>
      <c r="F305" s="29" t="s">
        <v>57</v>
      </c>
      <c r="G305" s="29" t="s">
        <v>97</v>
      </c>
      <c r="H305" s="5">
        <v>1</v>
      </c>
      <c r="I305" s="2" t="s">
        <v>594</v>
      </c>
      <c r="J305" s="29">
        <v>1</v>
      </c>
      <c r="K305" s="32">
        <f>VLOOKUP(E305,照明設備稼働時間!$A$4:$E$31,5,FALSE)</f>
        <v>8760</v>
      </c>
      <c r="L305" s="32" t="str">
        <f t="shared" si="8"/>
        <v>CF2.2W1誘導灯C級片面</v>
      </c>
      <c r="M305" s="14">
        <f>VLOOKUP(L305,照明器具一覧!$B$4:$F$129,5,FALSE)</f>
        <v>4</v>
      </c>
      <c r="N305" s="14">
        <v>1</v>
      </c>
      <c r="O305" s="142">
        <f t="shared" si="9"/>
        <v>35.04</v>
      </c>
    </row>
    <row r="306" spans="1:15">
      <c r="A306" s="2" t="s">
        <v>927</v>
      </c>
      <c r="B306" s="78" t="s">
        <v>1499</v>
      </c>
      <c r="C306" s="29" t="s">
        <v>69</v>
      </c>
      <c r="D306" s="2" t="s">
        <v>332</v>
      </c>
      <c r="E306" s="2" t="s">
        <v>77</v>
      </c>
      <c r="F306" s="29" t="s">
        <v>39</v>
      </c>
      <c r="G306" s="29" t="s">
        <v>97</v>
      </c>
      <c r="H306" s="5">
        <v>1</v>
      </c>
      <c r="I306" s="2" t="s">
        <v>594</v>
      </c>
      <c r="J306" s="29">
        <v>1</v>
      </c>
      <c r="K306" s="32">
        <f>VLOOKUP(E306,照明設備稼働時間!$A$4:$E$31,5,FALSE)</f>
        <v>8760</v>
      </c>
      <c r="L306" s="32" t="str">
        <f t="shared" si="8"/>
        <v>CF2.2W1誘導灯C級片面</v>
      </c>
      <c r="M306" s="14">
        <f>VLOOKUP(L306,照明器具一覧!$B$4:$F$129,5,FALSE)</f>
        <v>4</v>
      </c>
      <c r="N306" s="14">
        <v>1</v>
      </c>
      <c r="O306" s="142">
        <f t="shared" si="9"/>
        <v>35.04</v>
      </c>
    </row>
    <row r="307" spans="1:15">
      <c r="A307" s="2" t="s">
        <v>928</v>
      </c>
      <c r="B307" s="78" t="s">
        <v>1499</v>
      </c>
      <c r="C307" s="29" t="s">
        <v>67</v>
      </c>
      <c r="D307" s="2" t="s">
        <v>332</v>
      </c>
      <c r="E307" s="2" t="s">
        <v>77</v>
      </c>
      <c r="F307" s="29" t="s">
        <v>45</v>
      </c>
      <c r="G307" s="29" t="s">
        <v>97</v>
      </c>
      <c r="H307" s="5">
        <v>1</v>
      </c>
      <c r="I307" s="2" t="s">
        <v>594</v>
      </c>
      <c r="J307" s="29">
        <v>1</v>
      </c>
      <c r="K307" s="32">
        <f>VLOOKUP(E307,照明設備稼働時間!$A$4:$E$31,5,FALSE)</f>
        <v>8760</v>
      </c>
      <c r="L307" s="32" t="str">
        <f t="shared" si="8"/>
        <v>CF2.2W1誘導灯C級片面</v>
      </c>
      <c r="M307" s="14">
        <f>VLOOKUP(L307,照明器具一覧!$B$4:$F$129,5,FALSE)</f>
        <v>4</v>
      </c>
      <c r="N307" s="14">
        <v>1</v>
      </c>
      <c r="O307" s="142">
        <f t="shared" si="9"/>
        <v>35.04</v>
      </c>
    </row>
    <row r="308" spans="1:15">
      <c r="A308" s="2" t="s">
        <v>929</v>
      </c>
      <c r="B308" s="78" t="s">
        <v>1499</v>
      </c>
      <c r="C308" s="29" t="s">
        <v>68</v>
      </c>
      <c r="D308" s="2" t="s">
        <v>332</v>
      </c>
      <c r="E308" s="2" t="s">
        <v>77</v>
      </c>
      <c r="F308" s="29" t="s">
        <v>45</v>
      </c>
      <c r="G308" s="29" t="s">
        <v>98</v>
      </c>
      <c r="H308" s="5">
        <v>1</v>
      </c>
      <c r="I308" s="2" t="s">
        <v>594</v>
      </c>
      <c r="J308" s="29">
        <v>1</v>
      </c>
      <c r="K308" s="32">
        <f>VLOOKUP(E308,照明設備稼働時間!$A$4:$E$31,5,FALSE)</f>
        <v>8760</v>
      </c>
      <c r="L308" s="32" t="str">
        <f t="shared" si="8"/>
        <v>CF2W1誘導灯C級片面</v>
      </c>
      <c r="M308" s="14">
        <f>VLOOKUP(L308,照明器具一覧!$B$4:$F$129,5,FALSE)</f>
        <v>4</v>
      </c>
      <c r="N308" s="14">
        <v>1</v>
      </c>
      <c r="O308" s="142">
        <f t="shared" si="9"/>
        <v>35.04</v>
      </c>
    </row>
    <row r="309" spans="1:15">
      <c r="A309" s="2" t="s">
        <v>930</v>
      </c>
      <c r="B309" s="78" t="s">
        <v>1499</v>
      </c>
      <c r="C309" s="29" t="s">
        <v>67</v>
      </c>
      <c r="D309" s="2" t="s">
        <v>332</v>
      </c>
      <c r="E309" s="2" t="s">
        <v>77</v>
      </c>
      <c r="F309" s="29" t="s">
        <v>65</v>
      </c>
      <c r="G309" s="29" t="s">
        <v>97</v>
      </c>
      <c r="H309" s="5">
        <v>1</v>
      </c>
      <c r="I309" s="2" t="s">
        <v>594</v>
      </c>
      <c r="J309" s="29">
        <v>1</v>
      </c>
      <c r="K309" s="32">
        <f>VLOOKUP(E309,照明設備稼働時間!$A$4:$E$31,5,FALSE)</f>
        <v>8760</v>
      </c>
      <c r="L309" s="32" t="str">
        <f t="shared" si="8"/>
        <v>CF2.2W1誘導灯C級片面</v>
      </c>
      <c r="M309" s="14">
        <f>VLOOKUP(L309,照明器具一覧!$B$4:$F$129,5,FALSE)</f>
        <v>4</v>
      </c>
      <c r="N309" s="14">
        <v>1</v>
      </c>
      <c r="O309" s="142">
        <f t="shared" si="9"/>
        <v>35.04</v>
      </c>
    </row>
    <row r="310" spans="1:15">
      <c r="A310" s="2" t="s">
        <v>931</v>
      </c>
      <c r="B310" s="78" t="s">
        <v>1499</v>
      </c>
      <c r="C310" s="29" t="s">
        <v>69</v>
      </c>
      <c r="D310" s="2" t="s">
        <v>332</v>
      </c>
      <c r="E310" s="2" t="s">
        <v>77</v>
      </c>
      <c r="F310" s="29" t="s">
        <v>49</v>
      </c>
      <c r="G310" s="29" t="s">
        <v>97</v>
      </c>
      <c r="H310" s="5">
        <v>1</v>
      </c>
      <c r="I310" s="2" t="s">
        <v>594</v>
      </c>
      <c r="J310" s="29">
        <v>1</v>
      </c>
      <c r="K310" s="32">
        <f>VLOOKUP(E310,照明設備稼働時間!$A$4:$E$31,5,FALSE)</f>
        <v>8760</v>
      </c>
      <c r="L310" s="32" t="str">
        <f t="shared" si="8"/>
        <v>CF2.2W1誘導灯C級片面</v>
      </c>
      <c r="M310" s="14">
        <f>VLOOKUP(L310,照明器具一覧!$B$4:$F$129,5,FALSE)</f>
        <v>4</v>
      </c>
      <c r="N310" s="14">
        <v>1</v>
      </c>
      <c r="O310" s="142">
        <f t="shared" si="9"/>
        <v>35.04</v>
      </c>
    </row>
    <row r="311" spans="1:15">
      <c r="A311" s="2" t="s">
        <v>932</v>
      </c>
      <c r="B311" s="78" t="s">
        <v>1499</v>
      </c>
      <c r="C311" s="29" t="s">
        <v>67</v>
      </c>
      <c r="D311" s="2" t="s">
        <v>332</v>
      </c>
      <c r="E311" s="2" t="s">
        <v>77</v>
      </c>
      <c r="F311" s="29" t="s">
        <v>23</v>
      </c>
      <c r="G311" s="29" t="s">
        <v>97</v>
      </c>
      <c r="H311" s="5">
        <v>1</v>
      </c>
      <c r="I311" s="2" t="s">
        <v>594</v>
      </c>
      <c r="J311" s="29">
        <v>1</v>
      </c>
      <c r="K311" s="32">
        <f>VLOOKUP(E311,照明設備稼働時間!$A$4:$E$31,5,FALSE)</f>
        <v>8760</v>
      </c>
      <c r="L311" s="32" t="str">
        <f t="shared" si="8"/>
        <v>CF2.2W1誘導灯C級片面</v>
      </c>
      <c r="M311" s="14">
        <f>VLOOKUP(L311,照明器具一覧!$B$4:$F$129,5,FALSE)</f>
        <v>4</v>
      </c>
      <c r="N311" s="14">
        <v>1</v>
      </c>
      <c r="O311" s="142">
        <f t="shared" si="9"/>
        <v>35.04</v>
      </c>
    </row>
    <row r="312" spans="1:15">
      <c r="A312" s="2" t="s">
        <v>933</v>
      </c>
      <c r="B312" s="78" t="s">
        <v>1499</v>
      </c>
      <c r="C312" s="29" t="s">
        <v>68</v>
      </c>
      <c r="D312" s="2" t="s">
        <v>332</v>
      </c>
      <c r="E312" s="2" t="s">
        <v>77</v>
      </c>
      <c r="F312" s="29" t="s">
        <v>23</v>
      </c>
      <c r="G312" s="29" t="s">
        <v>98</v>
      </c>
      <c r="H312" s="5">
        <v>1</v>
      </c>
      <c r="I312" s="2" t="s">
        <v>594</v>
      </c>
      <c r="J312" s="29">
        <v>1</v>
      </c>
      <c r="K312" s="32">
        <f>VLOOKUP(E312,照明設備稼働時間!$A$4:$E$31,5,FALSE)</f>
        <v>8760</v>
      </c>
      <c r="L312" s="32" t="str">
        <f t="shared" si="8"/>
        <v>CF2W1誘導灯C級片面</v>
      </c>
      <c r="M312" s="14">
        <f>VLOOKUP(L312,照明器具一覧!$B$4:$F$129,5,FALSE)</f>
        <v>4</v>
      </c>
      <c r="N312" s="14">
        <v>1</v>
      </c>
      <c r="O312" s="142">
        <f t="shared" si="9"/>
        <v>35.04</v>
      </c>
    </row>
    <row r="313" spans="1:15">
      <c r="A313" s="2" t="s">
        <v>934</v>
      </c>
      <c r="B313" s="78" t="s">
        <v>1499</v>
      </c>
      <c r="C313" s="29" t="s">
        <v>68</v>
      </c>
      <c r="D313" s="2" t="s">
        <v>332</v>
      </c>
      <c r="E313" s="2" t="s">
        <v>77</v>
      </c>
      <c r="F313" s="29" t="s">
        <v>11</v>
      </c>
      <c r="G313" s="29" t="s">
        <v>98</v>
      </c>
      <c r="H313" s="5">
        <v>1</v>
      </c>
      <c r="I313" s="2" t="s">
        <v>594</v>
      </c>
      <c r="J313" s="29">
        <v>2</v>
      </c>
      <c r="K313" s="32">
        <f>VLOOKUP(E313,照明設備稼働時間!$A$4:$E$31,5,FALSE)</f>
        <v>8760</v>
      </c>
      <c r="L313" s="32" t="str">
        <f t="shared" si="8"/>
        <v>CF2W1誘導灯C級片面</v>
      </c>
      <c r="M313" s="14">
        <f>VLOOKUP(L313,照明器具一覧!$B$4:$F$129,5,FALSE)</f>
        <v>4</v>
      </c>
      <c r="N313" s="14">
        <v>1</v>
      </c>
      <c r="O313" s="142">
        <f t="shared" si="9"/>
        <v>70.08</v>
      </c>
    </row>
    <row r="314" spans="1:15">
      <c r="A314" s="2" t="s">
        <v>935</v>
      </c>
      <c r="B314" s="78" t="s">
        <v>1499</v>
      </c>
      <c r="C314" s="29" t="s">
        <v>69</v>
      </c>
      <c r="D314" s="2" t="s">
        <v>332</v>
      </c>
      <c r="E314" s="2" t="s">
        <v>77</v>
      </c>
      <c r="F314" s="29" t="s">
        <v>11</v>
      </c>
      <c r="G314" s="29" t="s">
        <v>97</v>
      </c>
      <c r="H314" s="5">
        <v>1</v>
      </c>
      <c r="I314" s="2" t="s">
        <v>594</v>
      </c>
      <c r="J314" s="29">
        <v>3</v>
      </c>
      <c r="K314" s="32">
        <f>VLOOKUP(E314,照明設備稼働時間!$A$4:$E$31,5,FALSE)</f>
        <v>8760</v>
      </c>
      <c r="L314" s="32" t="str">
        <f t="shared" si="8"/>
        <v>CF2.2W1誘導灯C級片面</v>
      </c>
      <c r="M314" s="14">
        <f>VLOOKUP(L314,照明器具一覧!$B$4:$F$129,5,FALSE)</f>
        <v>4</v>
      </c>
      <c r="N314" s="14">
        <v>1</v>
      </c>
      <c r="O314" s="142">
        <f t="shared" si="9"/>
        <v>105.12</v>
      </c>
    </row>
    <row r="315" spans="1:15">
      <c r="A315" s="2" t="s">
        <v>936</v>
      </c>
      <c r="B315" s="78" t="s">
        <v>1499</v>
      </c>
      <c r="C315" s="29" t="s">
        <v>341</v>
      </c>
      <c r="D315" s="2" t="s">
        <v>332</v>
      </c>
      <c r="E315" s="2" t="s">
        <v>77</v>
      </c>
      <c r="F315" s="29" t="s">
        <v>11</v>
      </c>
      <c r="G315" s="29" t="s">
        <v>97</v>
      </c>
      <c r="H315" s="5">
        <v>1</v>
      </c>
      <c r="I315" s="2" t="s">
        <v>594</v>
      </c>
      <c r="J315" s="29">
        <v>4</v>
      </c>
      <c r="K315" s="32">
        <f>VLOOKUP(E315,照明設備稼働時間!$A$4:$E$31,5,FALSE)</f>
        <v>8760</v>
      </c>
      <c r="L315" s="32" t="str">
        <f t="shared" si="8"/>
        <v>CF2.2W1誘導灯C級片面</v>
      </c>
      <c r="M315" s="14">
        <f>VLOOKUP(L315,照明器具一覧!$B$4:$F$129,5,FALSE)</f>
        <v>4</v>
      </c>
      <c r="N315" s="14">
        <v>1</v>
      </c>
      <c r="O315" s="142">
        <f t="shared" si="9"/>
        <v>140.16</v>
      </c>
    </row>
    <row r="316" spans="1:15">
      <c r="A316" s="2" t="s">
        <v>937</v>
      </c>
      <c r="B316" s="78" t="s">
        <v>1499</v>
      </c>
      <c r="C316" s="29"/>
      <c r="D316" s="2" t="s">
        <v>332</v>
      </c>
      <c r="E316" s="2" t="s">
        <v>624</v>
      </c>
      <c r="F316" s="29" t="s">
        <v>71</v>
      </c>
      <c r="G316" s="29" t="s">
        <v>72</v>
      </c>
      <c r="H316" s="5">
        <v>1</v>
      </c>
      <c r="I316" s="29" t="s">
        <v>585</v>
      </c>
      <c r="J316" s="29">
        <v>100</v>
      </c>
      <c r="K316" s="32">
        <f>VLOOKUP(E316,照明設備稼働時間!$A$4:$E$31,5,FALSE)</f>
        <v>0</v>
      </c>
      <c r="L316" s="32" t="str">
        <f t="shared" si="8"/>
        <v>IL60W1非常照明　電源別置型</v>
      </c>
      <c r="M316" s="14">
        <f>VLOOKUP(L316,照明器具一覧!$B$4:$F$129,5,FALSE)</f>
        <v>60</v>
      </c>
      <c r="N316" s="14">
        <v>1</v>
      </c>
      <c r="O316" s="142">
        <f t="shared" si="9"/>
        <v>0</v>
      </c>
    </row>
    <row r="317" spans="1:15">
      <c r="A317" s="2" t="s">
        <v>938</v>
      </c>
      <c r="B317" s="78" t="s">
        <v>1499</v>
      </c>
      <c r="C317" s="48" t="s">
        <v>282</v>
      </c>
      <c r="D317" s="2" t="s">
        <v>318</v>
      </c>
      <c r="E317" s="2" t="s">
        <v>44</v>
      </c>
      <c r="F317" s="49" t="s">
        <v>297</v>
      </c>
      <c r="G317" s="50" t="s">
        <v>21</v>
      </c>
      <c r="H317" s="34">
        <v>1</v>
      </c>
      <c r="I317" s="14" t="s">
        <v>301</v>
      </c>
      <c r="J317" s="24">
        <v>1</v>
      </c>
      <c r="K317" s="32">
        <f>VLOOKUP(E317,照明設備稼働時間!$A$4:$E$31,5,FALSE)</f>
        <v>242</v>
      </c>
      <c r="L317" s="32" t="str">
        <f t="shared" si="8"/>
        <v>FHF32W1逆富士</v>
      </c>
      <c r="M317" s="14">
        <f>VLOOKUP(L317,照明器具一覧!$B$4:$F$129,5,FALSE)</f>
        <v>36</v>
      </c>
      <c r="N317" s="14">
        <v>1</v>
      </c>
      <c r="O317" s="142">
        <f t="shared" si="9"/>
        <v>8.7119999999999997</v>
      </c>
    </row>
    <row r="318" spans="1:15">
      <c r="A318" s="2" t="s">
        <v>939</v>
      </c>
      <c r="B318" s="78" t="s">
        <v>1499</v>
      </c>
      <c r="C318" s="48" t="s">
        <v>282</v>
      </c>
      <c r="D318" s="2" t="s">
        <v>318</v>
      </c>
      <c r="E318" s="29" t="s">
        <v>1513</v>
      </c>
      <c r="F318" s="49" t="s">
        <v>298</v>
      </c>
      <c r="G318" s="50" t="s">
        <v>21</v>
      </c>
      <c r="H318" s="34">
        <v>1</v>
      </c>
      <c r="I318" s="14" t="s">
        <v>301</v>
      </c>
      <c r="J318" s="24">
        <v>1</v>
      </c>
      <c r="K318" s="32">
        <f>VLOOKUP(E318,照明設備稼働時間!$A$4:$E$31,5,FALSE)</f>
        <v>484</v>
      </c>
      <c r="L318" s="32" t="str">
        <f t="shared" si="8"/>
        <v>FHF32W1逆富士</v>
      </c>
      <c r="M318" s="14">
        <f>VLOOKUP(L318,照明器具一覧!$B$4:$F$129,5,FALSE)</f>
        <v>36</v>
      </c>
      <c r="N318" s="14">
        <v>1</v>
      </c>
      <c r="O318" s="142">
        <f t="shared" si="9"/>
        <v>17.423999999999999</v>
      </c>
    </row>
    <row r="319" spans="1:15">
      <c r="A319" s="2" t="s">
        <v>940</v>
      </c>
      <c r="B319" s="78" t="s">
        <v>1499</v>
      </c>
      <c r="C319" s="48" t="s">
        <v>284</v>
      </c>
      <c r="D319" s="2" t="s">
        <v>318</v>
      </c>
      <c r="E319" s="2" t="s">
        <v>1507</v>
      </c>
      <c r="F319" s="49" t="s">
        <v>174</v>
      </c>
      <c r="G319" s="50" t="s">
        <v>19</v>
      </c>
      <c r="H319" s="34">
        <v>1</v>
      </c>
      <c r="I319" s="14" t="s">
        <v>303</v>
      </c>
      <c r="J319" s="24">
        <v>1</v>
      </c>
      <c r="K319" s="32">
        <f>VLOOKUP(E319,照明設備稼働時間!$A$4:$E$31,5,FALSE)</f>
        <v>0</v>
      </c>
      <c r="L319" s="32" t="str">
        <f t="shared" si="8"/>
        <v>FHF16W1片反射笠付（高出力）</v>
      </c>
      <c r="M319" s="14">
        <f>VLOOKUP(L319,照明器具一覧!$B$4:$F$129,5,FALSE)</f>
        <v>26</v>
      </c>
      <c r="N319" s="14">
        <v>1</v>
      </c>
      <c r="O319" s="142">
        <f t="shared" si="9"/>
        <v>0</v>
      </c>
    </row>
    <row r="320" spans="1:15">
      <c r="A320" s="2" t="s">
        <v>941</v>
      </c>
      <c r="B320" s="78" t="s">
        <v>1499</v>
      </c>
      <c r="C320" s="48" t="s">
        <v>285</v>
      </c>
      <c r="D320" s="2" t="s">
        <v>318</v>
      </c>
      <c r="E320" s="2" t="s">
        <v>601</v>
      </c>
      <c r="F320" s="49" t="s">
        <v>262</v>
      </c>
      <c r="G320" s="50" t="s">
        <v>21</v>
      </c>
      <c r="H320" s="34">
        <v>1</v>
      </c>
      <c r="I320" s="14" t="s">
        <v>552</v>
      </c>
      <c r="J320" s="24">
        <v>1</v>
      </c>
      <c r="K320" s="32">
        <f>VLOOKUP(E320,照明設備稼働時間!$A$4:$E$31,5,FALSE)</f>
        <v>2299</v>
      </c>
      <c r="L320" s="32" t="str">
        <f t="shared" si="8"/>
        <v>FHF32W1階段灯　非常灯付</v>
      </c>
      <c r="M320" s="14">
        <f>VLOOKUP(L320,照明器具一覧!$B$4:$F$129,5,FALSE)</f>
        <v>36</v>
      </c>
      <c r="N320" s="14">
        <v>1</v>
      </c>
      <c r="O320" s="142">
        <f t="shared" si="9"/>
        <v>82.763999999999996</v>
      </c>
    </row>
    <row r="321" spans="1:15">
      <c r="A321" s="2" t="s">
        <v>942</v>
      </c>
      <c r="B321" s="78" t="s">
        <v>1499</v>
      </c>
      <c r="C321" s="48" t="s">
        <v>286</v>
      </c>
      <c r="D321" s="2" t="s">
        <v>318</v>
      </c>
      <c r="E321" s="2" t="s">
        <v>601</v>
      </c>
      <c r="F321" s="49" t="s">
        <v>262</v>
      </c>
      <c r="G321" s="50" t="s">
        <v>21</v>
      </c>
      <c r="H321" s="34">
        <v>1</v>
      </c>
      <c r="I321" s="14" t="s">
        <v>552</v>
      </c>
      <c r="J321" s="24">
        <v>1</v>
      </c>
      <c r="K321" s="32">
        <f>VLOOKUP(E321,照明設備稼働時間!$A$4:$E$31,5,FALSE)</f>
        <v>2299</v>
      </c>
      <c r="L321" s="32" t="str">
        <f t="shared" si="8"/>
        <v>FHF32W1階段灯　非常灯付</v>
      </c>
      <c r="M321" s="14">
        <f>VLOOKUP(L321,照明器具一覧!$B$4:$F$129,5,FALSE)</f>
        <v>36</v>
      </c>
      <c r="N321" s="14">
        <v>1</v>
      </c>
      <c r="O321" s="142">
        <f t="shared" si="9"/>
        <v>82.763999999999996</v>
      </c>
    </row>
    <row r="322" spans="1:15">
      <c r="A322" s="2" t="s">
        <v>943</v>
      </c>
      <c r="B322" s="78" t="s">
        <v>1499</v>
      </c>
      <c r="C322" s="48" t="s">
        <v>283</v>
      </c>
      <c r="D322" s="2" t="s">
        <v>318</v>
      </c>
      <c r="E322" s="2" t="s">
        <v>601</v>
      </c>
      <c r="F322" s="49" t="s">
        <v>261</v>
      </c>
      <c r="G322" s="50" t="s">
        <v>21</v>
      </c>
      <c r="H322" s="34">
        <v>1</v>
      </c>
      <c r="I322" s="14" t="s">
        <v>302</v>
      </c>
      <c r="J322" s="24">
        <v>3</v>
      </c>
      <c r="K322" s="32">
        <f>VLOOKUP(E322,照明設備稼働時間!$A$4:$E$31,5,FALSE)</f>
        <v>2299</v>
      </c>
      <c r="L322" s="32" t="str">
        <f t="shared" si="8"/>
        <v>FHF32W1埋込W190</v>
      </c>
      <c r="M322" s="14">
        <f>VLOOKUP(L322,照明器具一覧!$B$4:$F$129,5,FALSE)</f>
        <v>36</v>
      </c>
      <c r="N322" s="14">
        <v>0.33</v>
      </c>
      <c r="O322" s="142">
        <f t="shared" si="9"/>
        <v>81.936360000000008</v>
      </c>
    </row>
    <row r="323" spans="1:15">
      <c r="A323" s="2" t="s">
        <v>944</v>
      </c>
      <c r="B323" s="78" t="s">
        <v>1499</v>
      </c>
      <c r="C323" s="48" t="s">
        <v>282</v>
      </c>
      <c r="D323" s="2" t="s">
        <v>318</v>
      </c>
      <c r="E323" s="2" t="s">
        <v>603</v>
      </c>
      <c r="F323" s="49" t="s">
        <v>299</v>
      </c>
      <c r="G323" s="50" t="s">
        <v>21</v>
      </c>
      <c r="H323" s="34">
        <v>1</v>
      </c>
      <c r="I323" s="29" t="s">
        <v>301</v>
      </c>
      <c r="J323" s="24">
        <v>1</v>
      </c>
      <c r="K323" s="32">
        <f>VLOOKUP(E323,照明設備稼働時間!$A$4:$E$31,5,FALSE)</f>
        <v>968</v>
      </c>
      <c r="L323" s="32" t="str">
        <f t="shared" si="8"/>
        <v>FHF32W1逆富士</v>
      </c>
      <c r="M323" s="14">
        <f>VLOOKUP(L323,照明器具一覧!$B$4:$F$129,5,FALSE)</f>
        <v>36</v>
      </c>
      <c r="N323" s="14">
        <v>1</v>
      </c>
      <c r="O323" s="142">
        <f t="shared" si="9"/>
        <v>34.847999999999999</v>
      </c>
    </row>
    <row r="324" spans="1:15">
      <c r="A324" s="2" t="s">
        <v>945</v>
      </c>
      <c r="B324" s="78" t="s">
        <v>1499</v>
      </c>
      <c r="C324" s="48"/>
      <c r="D324" s="2" t="s">
        <v>318</v>
      </c>
      <c r="E324" s="2" t="s">
        <v>603</v>
      </c>
      <c r="F324" s="49" t="s">
        <v>299</v>
      </c>
      <c r="G324" s="50" t="s">
        <v>304</v>
      </c>
      <c r="H324" s="34">
        <v>1</v>
      </c>
      <c r="I324" s="14" t="s">
        <v>316</v>
      </c>
      <c r="J324" s="24">
        <v>3</v>
      </c>
      <c r="K324" s="32">
        <f>VLOOKUP(E324,照明設備稼働時間!$A$4:$E$31,5,FALSE)</f>
        <v>968</v>
      </c>
      <c r="L324" s="32" t="str">
        <f t="shared" ref="L324:L387" si="10">G324&amp;H324&amp;I324</f>
        <v>LED電球1レセップ</v>
      </c>
      <c r="M324" s="14">
        <f>VLOOKUP(L324,照明器具一覧!$B$4:$F$129,5,FALSE)</f>
        <v>4.5999999999999996</v>
      </c>
      <c r="N324" s="14">
        <v>0.66</v>
      </c>
      <c r="O324" s="142">
        <f t="shared" si="9"/>
        <v>8.8165440000000004</v>
      </c>
    </row>
    <row r="325" spans="1:15">
      <c r="A325" s="2" t="s">
        <v>946</v>
      </c>
      <c r="B325" s="78" t="s">
        <v>1499</v>
      </c>
      <c r="C325" s="48" t="s">
        <v>282</v>
      </c>
      <c r="D325" s="2" t="s">
        <v>318</v>
      </c>
      <c r="E325" s="2" t="s">
        <v>603</v>
      </c>
      <c r="F325" s="49" t="s">
        <v>300</v>
      </c>
      <c r="G325" s="50" t="s">
        <v>21</v>
      </c>
      <c r="H325" s="34">
        <v>1</v>
      </c>
      <c r="I325" s="29" t="s">
        <v>301</v>
      </c>
      <c r="J325" s="24">
        <v>1</v>
      </c>
      <c r="K325" s="32">
        <f>VLOOKUP(E325,照明設備稼働時間!$A$4:$E$31,5,FALSE)</f>
        <v>968</v>
      </c>
      <c r="L325" s="32" t="str">
        <f t="shared" si="10"/>
        <v>FHF32W1逆富士</v>
      </c>
      <c r="M325" s="14">
        <f>VLOOKUP(L325,照明器具一覧!$B$4:$F$129,5,FALSE)</f>
        <v>36</v>
      </c>
      <c r="N325" s="14">
        <v>1</v>
      </c>
      <c r="O325" s="142">
        <f t="shared" ref="O325:O388" si="11">(M325*J325*K325*N325)/1000</f>
        <v>34.847999999999999</v>
      </c>
    </row>
    <row r="326" spans="1:15">
      <c r="A326" s="2" t="s">
        <v>947</v>
      </c>
      <c r="B326" s="78" t="s">
        <v>1499</v>
      </c>
      <c r="C326" s="48"/>
      <c r="D326" s="2" t="s">
        <v>318</v>
      </c>
      <c r="E326" s="2" t="s">
        <v>603</v>
      </c>
      <c r="F326" s="49" t="s">
        <v>300</v>
      </c>
      <c r="G326" s="50" t="s">
        <v>304</v>
      </c>
      <c r="H326" s="34">
        <v>1</v>
      </c>
      <c r="I326" s="29" t="s">
        <v>316</v>
      </c>
      <c r="J326" s="24">
        <v>2</v>
      </c>
      <c r="K326" s="32">
        <f>VLOOKUP(E326,照明設備稼働時間!$A$4:$E$31,5,FALSE)</f>
        <v>968</v>
      </c>
      <c r="L326" s="32" t="str">
        <f t="shared" si="10"/>
        <v>LED電球1レセップ</v>
      </c>
      <c r="M326" s="14">
        <f>VLOOKUP(L326,照明器具一覧!$B$4:$F$129,5,FALSE)</f>
        <v>4.5999999999999996</v>
      </c>
      <c r="N326" s="14">
        <v>0.5</v>
      </c>
      <c r="O326" s="142">
        <f t="shared" si="11"/>
        <v>4.452799999999999</v>
      </c>
    </row>
    <row r="327" spans="1:15">
      <c r="A327" s="2" t="s">
        <v>948</v>
      </c>
      <c r="B327" s="78" t="s">
        <v>1499</v>
      </c>
      <c r="C327" s="48" t="s">
        <v>287</v>
      </c>
      <c r="D327" s="2" t="s">
        <v>318</v>
      </c>
      <c r="E327" s="2" t="s">
        <v>600</v>
      </c>
      <c r="F327" s="49" t="s">
        <v>325</v>
      </c>
      <c r="G327" s="50" t="s">
        <v>21</v>
      </c>
      <c r="H327" s="34">
        <v>2</v>
      </c>
      <c r="I327" s="29" t="s">
        <v>305</v>
      </c>
      <c r="J327" s="24">
        <v>44</v>
      </c>
      <c r="K327" s="32">
        <f>VLOOKUP(E327,照明設備稼働時間!$A$4:$E$31,5,FALSE)</f>
        <v>2299</v>
      </c>
      <c r="L327" s="32" t="str">
        <f t="shared" si="10"/>
        <v>FHF32W2システム天井</v>
      </c>
      <c r="M327" s="14">
        <f>VLOOKUP(L327,照明器具一覧!$B$4:$F$129,5,FALSE)</f>
        <v>72</v>
      </c>
      <c r="N327" s="14">
        <v>1</v>
      </c>
      <c r="O327" s="142">
        <f t="shared" si="11"/>
        <v>7283.232</v>
      </c>
    </row>
    <row r="328" spans="1:15">
      <c r="A328" s="2" t="s">
        <v>949</v>
      </c>
      <c r="B328" s="78" t="s">
        <v>1499</v>
      </c>
      <c r="C328" s="48" t="s">
        <v>289</v>
      </c>
      <c r="D328" s="2" t="s">
        <v>318</v>
      </c>
      <c r="E328" s="2" t="s">
        <v>265</v>
      </c>
      <c r="F328" s="49" t="s">
        <v>265</v>
      </c>
      <c r="G328" s="50" t="s">
        <v>21</v>
      </c>
      <c r="H328" s="34">
        <v>1</v>
      </c>
      <c r="I328" s="29" t="s">
        <v>89</v>
      </c>
      <c r="J328" s="24">
        <v>4</v>
      </c>
      <c r="K328" s="32">
        <f>VLOOKUP(E328,照明設備稼働時間!$A$4:$E$31,5,FALSE)</f>
        <v>2602</v>
      </c>
      <c r="L328" s="32" t="str">
        <f t="shared" si="10"/>
        <v>FHF32W1トラフ</v>
      </c>
      <c r="M328" s="14">
        <f>VLOOKUP(L328,照明器具一覧!$B$4:$F$129,5,FALSE)</f>
        <v>36</v>
      </c>
      <c r="N328" s="14">
        <v>1</v>
      </c>
      <c r="O328" s="142">
        <f t="shared" si="11"/>
        <v>374.68799999999999</v>
      </c>
    </row>
    <row r="329" spans="1:15">
      <c r="A329" s="2" t="s">
        <v>950</v>
      </c>
      <c r="B329" s="78" t="s">
        <v>1499</v>
      </c>
      <c r="C329" s="48"/>
      <c r="D329" s="2" t="s">
        <v>318</v>
      </c>
      <c r="E329" s="2" t="s">
        <v>265</v>
      </c>
      <c r="F329" s="49" t="s">
        <v>265</v>
      </c>
      <c r="G329" s="50" t="s">
        <v>72</v>
      </c>
      <c r="H329" s="34">
        <v>1</v>
      </c>
      <c r="I329" s="29" t="s">
        <v>73</v>
      </c>
      <c r="J329" s="24">
        <v>5</v>
      </c>
      <c r="K329" s="32">
        <f>VLOOKUP(E329,照明設備稼働時間!$A$4:$E$31,5,FALSE)</f>
        <v>2602</v>
      </c>
      <c r="L329" s="32" t="str">
        <f t="shared" si="10"/>
        <v>IL60W1ダウンライト</v>
      </c>
      <c r="M329" s="14">
        <f>VLOOKUP(L329,照明器具一覧!$B$4:$F$129,5,FALSE)</f>
        <v>60</v>
      </c>
      <c r="N329" s="14">
        <v>1</v>
      </c>
      <c r="O329" s="142">
        <f t="shared" si="11"/>
        <v>780.6</v>
      </c>
    </row>
    <row r="330" spans="1:15">
      <c r="A330" s="2" t="s">
        <v>951</v>
      </c>
      <c r="B330" s="78" t="s">
        <v>1499</v>
      </c>
      <c r="C330" s="48" t="s">
        <v>289</v>
      </c>
      <c r="D330" s="2" t="s">
        <v>318</v>
      </c>
      <c r="E330" s="2" t="s">
        <v>601</v>
      </c>
      <c r="F330" s="49" t="s">
        <v>266</v>
      </c>
      <c r="G330" s="50" t="s">
        <v>21</v>
      </c>
      <c r="H330" s="34">
        <v>1</v>
      </c>
      <c r="I330" s="29" t="s">
        <v>89</v>
      </c>
      <c r="J330" s="24">
        <v>77</v>
      </c>
      <c r="K330" s="32">
        <f>VLOOKUP(E330,照明設備稼働時間!$A$4:$E$31,5,FALSE)</f>
        <v>2299</v>
      </c>
      <c r="L330" s="32" t="str">
        <f t="shared" si="10"/>
        <v>FHF32W1トラフ</v>
      </c>
      <c r="M330" s="14">
        <f>VLOOKUP(L330,照明器具一覧!$B$4:$F$129,5,FALSE)</f>
        <v>36</v>
      </c>
      <c r="N330" s="14">
        <v>0.33</v>
      </c>
      <c r="O330" s="142">
        <f t="shared" si="11"/>
        <v>2103.0332400000002</v>
      </c>
    </row>
    <row r="331" spans="1:15">
      <c r="A331" s="2" t="s">
        <v>952</v>
      </c>
      <c r="B331" s="78" t="s">
        <v>1499</v>
      </c>
      <c r="C331" s="48" t="s">
        <v>290</v>
      </c>
      <c r="D331" s="2" t="s">
        <v>318</v>
      </c>
      <c r="E331" s="2" t="s">
        <v>601</v>
      </c>
      <c r="F331" s="49" t="s">
        <v>266</v>
      </c>
      <c r="G331" s="50" t="s">
        <v>21</v>
      </c>
      <c r="H331" s="34">
        <v>1</v>
      </c>
      <c r="I331" s="29" t="s">
        <v>306</v>
      </c>
      <c r="J331" s="24">
        <v>2</v>
      </c>
      <c r="K331" s="32">
        <f>VLOOKUP(E331,照明設備稼働時間!$A$4:$E$31,5,FALSE)</f>
        <v>2299</v>
      </c>
      <c r="L331" s="32" t="str">
        <f t="shared" si="10"/>
        <v>FHF32W1トラフ</v>
      </c>
      <c r="M331" s="14">
        <f>VLOOKUP(L331,照明器具一覧!$B$4:$F$129,5,FALSE)</f>
        <v>36</v>
      </c>
      <c r="N331" s="14">
        <v>0.33</v>
      </c>
      <c r="O331" s="142">
        <f t="shared" si="11"/>
        <v>54.624240000000007</v>
      </c>
    </row>
    <row r="332" spans="1:15">
      <c r="A332" s="2" t="s">
        <v>953</v>
      </c>
      <c r="B332" s="78" t="s">
        <v>1499</v>
      </c>
      <c r="C332" s="48"/>
      <c r="D332" s="2" t="s">
        <v>318</v>
      </c>
      <c r="E332" s="2" t="s">
        <v>601</v>
      </c>
      <c r="F332" s="49" t="s">
        <v>266</v>
      </c>
      <c r="G332" s="50" t="s">
        <v>72</v>
      </c>
      <c r="H332" s="34">
        <v>1</v>
      </c>
      <c r="I332" s="29" t="s">
        <v>73</v>
      </c>
      <c r="J332" s="24">
        <v>4</v>
      </c>
      <c r="K332" s="32">
        <f>VLOOKUP(E332,照明設備稼働時間!$A$4:$E$31,5,FALSE)</f>
        <v>2299</v>
      </c>
      <c r="L332" s="32" t="str">
        <f t="shared" si="10"/>
        <v>IL60W1ダウンライト</v>
      </c>
      <c r="M332" s="14">
        <f>VLOOKUP(L332,照明器具一覧!$B$4:$F$129,5,FALSE)</f>
        <v>60</v>
      </c>
      <c r="N332" s="14">
        <v>1</v>
      </c>
      <c r="O332" s="142">
        <f t="shared" si="11"/>
        <v>551.76</v>
      </c>
    </row>
    <row r="333" spans="1:15">
      <c r="A333" s="2" t="s">
        <v>954</v>
      </c>
      <c r="B333" s="78" t="s">
        <v>1499</v>
      </c>
      <c r="C333" s="48"/>
      <c r="D333" s="2" t="s">
        <v>318</v>
      </c>
      <c r="E333" s="2" t="s">
        <v>601</v>
      </c>
      <c r="F333" s="49" t="s">
        <v>266</v>
      </c>
      <c r="G333" s="29" t="s">
        <v>75</v>
      </c>
      <c r="H333" s="34">
        <v>1</v>
      </c>
      <c r="I333" s="29" t="s">
        <v>76</v>
      </c>
      <c r="J333" s="29">
        <v>5</v>
      </c>
      <c r="K333" s="32">
        <f>VLOOKUP(E333,照明設備稼働時間!$A$4:$E$31,5,FALSE)</f>
        <v>2299</v>
      </c>
      <c r="L333" s="32" t="str">
        <f t="shared" si="10"/>
        <v>LED1ユニバーサルダウンライト</v>
      </c>
      <c r="M333" s="14">
        <f>VLOOKUP(L333,照明器具一覧!$B$4:$F$129,5,FALSE)</f>
        <v>10</v>
      </c>
      <c r="N333" s="14">
        <v>0.33</v>
      </c>
      <c r="O333" s="142">
        <f t="shared" si="11"/>
        <v>37.933500000000002</v>
      </c>
    </row>
    <row r="334" spans="1:15">
      <c r="A334" s="2" t="s">
        <v>955</v>
      </c>
      <c r="B334" s="78" t="s">
        <v>1499</v>
      </c>
      <c r="C334" s="48"/>
      <c r="D334" s="2" t="s">
        <v>318</v>
      </c>
      <c r="E334" s="2" t="s">
        <v>601</v>
      </c>
      <c r="F334" s="49" t="s">
        <v>266</v>
      </c>
      <c r="G334" s="29" t="s">
        <v>385</v>
      </c>
      <c r="H334" s="34">
        <v>1</v>
      </c>
      <c r="I334" s="29" t="s">
        <v>74</v>
      </c>
      <c r="J334" s="29">
        <v>1</v>
      </c>
      <c r="K334" s="32">
        <f>VLOOKUP(E334,照明設備稼働時間!$A$4:$E$31,5,FALSE)</f>
        <v>2299</v>
      </c>
      <c r="L334" s="32" t="str">
        <f t="shared" si="10"/>
        <v>直管LED1黒板灯</v>
      </c>
      <c r="M334" s="14">
        <f>VLOOKUP(L334,照明器具一覧!$B$4:$F$129,5,FALSE)</f>
        <v>22</v>
      </c>
      <c r="N334" s="14">
        <v>0.33</v>
      </c>
      <c r="O334" s="142">
        <f t="shared" si="11"/>
        <v>16.690740000000002</v>
      </c>
    </row>
    <row r="335" spans="1:15">
      <c r="A335" s="2" t="s">
        <v>956</v>
      </c>
      <c r="B335" s="78" t="s">
        <v>1498</v>
      </c>
      <c r="C335" s="48"/>
      <c r="D335" s="2" t="s">
        <v>318</v>
      </c>
      <c r="E335" s="2" t="s">
        <v>601</v>
      </c>
      <c r="F335" s="49" t="s">
        <v>266</v>
      </c>
      <c r="G335" s="29" t="s">
        <v>75</v>
      </c>
      <c r="H335" s="34">
        <v>1</v>
      </c>
      <c r="I335" s="29" t="s">
        <v>74</v>
      </c>
      <c r="J335" s="29">
        <v>2</v>
      </c>
      <c r="K335" s="32">
        <f>VLOOKUP(E335,照明設備稼働時間!$A$4:$E$31,5,FALSE)</f>
        <v>2299</v>
      </c>
      <c r="L335" s="32" t="str">
        <f t="shared" si="10"/>
        <v>LED1黒板灯</v>
      </c>
      <c r="M335" s="14">
        <f>VLOOKUP(L335,照明器具一覧!$B$4:$F$129,5,FALSE)</f>
        <v>22</v>
      </c>
      <c r="N335" s="14">
        <v>0.33</v>
      </c>
      <c r="O335" s="142">
        <f t="shared" si="11"/>
        <v>33.381480000000003</v>
      </c>
    </row>
    <row r="336" spans="1:15">
      <c r="A336" s="2" t="s">
        <v>957</v>
      </c>
      <c r="B336" s="78" t="s">
        <v>1498</v>
      </c>
      <c r="C336" s="48"/>
      <c r="D336" s="2" t="s">
        <v>318</v>
      </c>
      <c r="E336" s="2" t="s">
        <v>601</v>
      </c>
      <c r="F336" s="49" t="s">
        <v>266</v>
      </c>
      <c r="G336" s="29" t="s">
        <v>75</v>
      </c>
      <c r="H336" s="34">
        <v>1</v>
      </c>
      <c r="I336" s="29" t="s">
        <v>74</v>
      </c>
      <c r="J336" s="29">
        <v>4</v>
      </c>
      <c r="K336" s="32">
        <f>VLOOKUP(E336,照明設備稼働時間!$A$4:$E$31,5,FALSE)</f>
        <v>2299</v>
      </c>
      <c r="L336" s="32" t="str">
        <f t="shared" si="10"/>
        <v>LED1黒板灯</v>
      </c>
      <c r="M336" s="14">
        <f>VLOOKUP(L336,照明器具一覧!$B$4:$F$129,5,FALSE)</f>
        <v>22</v>
      </c>
      <c r="N336" s="14">
        <v>0.33</v>
      </c>
      <c r="O336" s="142">
        <f t="shared" si="11"/>
        <v>66.762960000000007</v>
      </c>
    </row>
    <row r="337" spans="1:15">
      <c r="A337" s="2" t="s">
        <v>958</v>
      </c>
      <c r="B337" s="78" t="s">
        <v>1499</v>
      </c>
      <c r="C337" s="48" t="s">
        <v>287</v>
      </c>
      <c r="D337" s="2" t="s">
        <v>318</v>
      </c>
      <c r="E337" s="2" t="s">
        <v>600</v>
      </c>
      <c r="F337" s="49" t="s">
        <v>320</v>
      </c>
      <c r="G337" s="50" t="s">
        <v>21</v>
      </c>
      <c r="H337" s="34">
        <v>2</v>
      </c>
      <c r="I337" s="29" t="s">
        <v>305</v>
      </c>
      <c r="J337" s="24">
        <v>14</v>
      </c>
      <c r="K337" s="32">
        <f>VLOOKUP(E337,照明設備稼働時間!$A$4:$E$31,5,FALSE)</f>
        <v>2299</v>
      </c>
      <c r="L337" s="32" t="str">
        <f t="shared" si="10"/>
        <v>FHF32W2システム天井</v>
      </c>
      <c r="M337" s="14">
        <f>VLOOKUP(L337,照明器具一覧!$B$4:$F$129,5,FALSE)</f>
        <v>72</v>
      </c>
      <c r="N337" s="14">
        <v>1</v>
      </c>
      <c r="O337" s="142">
        <f t="shared" si="11"/>
        <v>2317.3919999999998</v>
      </c>
    </row>
    <row r="338" spans="1:15">
      <c r="A338" s="2" t="s">
        <v>959</v>
      </c>
      <c r="B338" s="78" t="s">
        <v>1499</v>
      </c>
      <c r="C338" s="48" t="s">
        <v>288</v>
      </c>
      <c r="D338" s="2" t="s">
        <v>318</v>
      </c>
      <c r="E338" s="2" t="s">
        <v>600</v>
      </c>
      <c r="F338" s="49" t="s">
        <v>320</v>
      </c>
      <c r="G338" s="50" t="s">
        <v>19</v>
      </c>
      <c r="H338" s="34">
        <v>2</v>
      </c>
      <c r="I338" s="29" t="s">
        <v>305</v>
      </c>
      <c r="J338" s="24">
        <v>1</v>
      </c>
      <c r="K338" s="32">
        <f>VLOOKUP(E338,照明設備稼働時間!$A$4:$E$31,5,FALSE)</f>
        <v>2299</v>
      </c>
      <c r="L338" s="32" t="str">
        <f t="shared" si="10"/>
        <v>FHF16W2システム天井</v>
      </c>
      <c r="M338" s="14">
        <f>VLOOKUP(L338,照明器具一覧!$B$4:$F$129,5,FALSE)</f>
        <v>26</v>
      </c>
      <c r="N338" s="14">
        <v>1</v>
      </c>
      <c r="O338" s="142">
        <f t="shared" si="11"/>
        <v>59.774000000000001</v>
      </c>
    </row>
    <row r="339" spans="1:15">
      <c r="A339" s="2" t="s">
        <v>960</v>
      </c>
      <c r="B339" s="78" t="s">
        <v>1499</v>
      </c>
      <c r="C339" s="48" t="s">
        <v>283</v>
      </c>
      <c r="D339" s="2" t="s">
        <v>318</v>
      </c>
      <c r="E339" s="2" t="s">
        <v>1508</v>
      </c>
      <c r="F339" s="49" t="s">
        <v>57</v>
      </c>
      <c r="G339" s="50" t="s">
        <v>21</v>
      </c>
      <c r="H339" s="34">
        <v>1</v>
      </c>
      <c r="I339" s="29" t="s">
        <v>302</v>
      </c>
      <c r="J339" s="24">
        <v>2</v>
      </c>
      <c r="K339" s="32">
        <f>VLOOKUP(E339,照明設備稼働時間!$A$4:$E$31,5,FALSE)</f>
        <v>8760</v>
      </c>
      <c r="L339" s="32" t="str">
        <f t="shared" si="10"/>
        <v>FHF32W1埋込W190</v>
      </c>
      <c r="M339" s="14">
        <f>VLOOKUP(L339,照明器具一覧!$B$4:$F$129,5,FALSE)</f>
        <v>36</v>
      </c>
      <c r="N339" s="14">
        <v>1</v>
      </c>
      <c r="O339" s="142">
        <f t="shared" si="11"/>
        <v>630.72</v>
      </c>
    </row>
    <row r="340" spans="1:15">
      <c r="A340" s="2" t="s">
        <v>961</v>
      </c>
      <c r="B340" s="78" t="s">
        <v>1499</v>
      </c>
      <c r="C340" s="48"/>
      <c r="D340" s="2" t="s">
        <v>318</v>
      </c>
      <c r="E340" s="2" t="s">
        <v>1508</v>
      </c>
      <c r="F340" s="49" t="s">
        <v>57</v>
      </c>
      <c r="G340" s="50" t="s">
        <v>72</v>
      </c>
      <c r="H340" s="34">
        <v>1</v>
      </c>
      <c r="I340" s="29" t="s">
        <v>73</v>
      </c>
      <c r="J340" s="24">
        <v>1</v>
      </c>
      <c r="K340" s="32">
        <f>VLOOKUP(E340,照明設備稼働時間!$A$4:$E$31,5,FALSE)</f>
        <v>8760</v>
      </c>
      <c r="L340" s="32" t="str">
        <f t="shared" si="10"/>
        <v>IL60W1ダウンライト</v>
      </c>
      <c r="M340" s="14">
        <f>VLOOKUP(L340,照明器具一覧!$B$4:$F$129,5,FALSE)</f>
        <v>60</v>
      </c>
      <c r="N340" s="14">
        <v>1</v>
      </c>
      <c r="O340" s="142">
        <f t="shared" si="11"/>
        <v>525.6</v>
      </c>
    </row>
    <row r="341" spans="1:15">
      <c r="A341" s="2" t="s">
        <v>962</v>
      </c>
      <c r="B341" s="78" t="s">
        <v>1499</v>
      </c>
      <c r="C341" s="48" t="s">
        <v>285</v>
      </c>
      <c r="D341" s="2" t="s">
        <v>318</v>
      </c>
      <c r="E341" s="2" t="s">
        <v>601</v>
      </c>
      <c r="F341" s="49" t="s">
        <v>267</v>
      </c>
      <c r="G341" s="50" t="s">
        <v>21</v>
      </c>
      <c r="H341" s="34">
        <v>1</v>
      </c>
      <c r="I341" s="29" t="s">
        <v>552</v>
      </c>
      <c r="J341" s="24">
        <v>1</v>
      </c>
      <c r="K341" s="32">
        <f>VLOOKUP(E341,照明設備稼働時間!$A$4:$E$31,5,FALSE)</f>
        <v>2299</v>
      </c>
      <c r="L341" s="32" t="str">
        <f t="shared" si="10"/>
        <v>FHF32W1階段灯　非常灯付</v>
      </c>
      <c r="M341" s="14">
        <f>VLOOKUP(L341,照明器具一覧!$B$4:$F$129,5,FALSE)</f>
        <v>36</v>
      </c>
      <c r="N341" s="14">
        <v>1</v>
      </c>
      <c r="O341" s="142">
        <f t="shared" si="11"/>
        <v>82.763999999999996</v>
      </c>
    </row>
    <row r="342" spans="1:15">
      <c r="A342" s="2" t="s">
        <v>963</v>
      </c>
      <c r="B342" s="78" t="s">
        <v>1499</v>
      </c>
      <c r="C342" s="48" t="s">
        <v>286</v>
      </c>
      <c r="D342" s="2" t="s">
        <v>318</v>
      </c>
      <c r="E342" s="2" t="s">
        <v>601</v>
      </c>
      <c r="F342" s="49" t="s">
        <v>267</v>
      </c>
      <c r="G342" s="50" t="s">
        <v>21</v>
      </c>
      <c r="H342" s="34">
        <v>1</v>
      </c>
      <c r="I342" s="29" t="s">
        <v>552</v>
      </c>
      <c r="J342" s="24">
        <v>1</v>
      </c>
      <c r="K342" s="32">
        <f>VLOOKUP(E342,照明設備稼働時間!$A$4:$E$31,5,FALSE)</f>
        <v>2299</v>
      </c>
      <c r="L342" s="32" t="str">
        <f t="shared" si="10"/>
        <v>FHF32W1階段灯　非常灯付</v>
      </c>
      <c r="M342" s="14">
        <f>VLOOKUP(L342,照明器具一覧!$B$4:$F$129,5,FALSE)</f>
        <v>36</v>
      </c>
      <c r="N342" s="14">
        <v>1</v>
      </c>
      <c r="O342" s="142">
        <f t="shared" si="11"/>
        <v>82.763999999999996</v>
      </c>
    </row>
    <row r="343" spans="1:15">
      <c r="A343" s="2" t="s">
        <v>964</v>
      </c>
      <c r="B343" s="78" t="s">
        <v>1499</v>
      </c>
      <c r="C343" s="48" t="s">
        <v>282</v>
      </c>
      <c r="D343" s="2" t="s">
        <v>318</v>
      </c>
      <c r="E343" s="2" t="s">
        <v>44</v>
      </c>
      <c r="F343" s="49" t="s">
        <v>309</v>
      </c>
      <c r="G343" s="50" t="s">
        <v>21</v>
      </c>
      <c r="H343" s="34">
        <v>1</v>
      </c>
      <c r="I343" s="29" t="s">
        <v>301</v>
      </c>
      <c r="J343" s="24">
        <v>2</v>
      </c>
      <c r="K343" s="32">
        <f>VLOOKUP(E343,照明設備稼働時間!$A$4:$E$31,5,FALSE)</f>
        <v>242</v>
      </c>
      <c r="L343" s="32" t="str">
        <f t="shared" si="10"/>
        <v>FHF32W1逆富士</v>
      </c>
      <c r="M343" s="14">
        <f>VLOOKUP(L343,照明器具一覧!$B$4:$F$129,5,FALSE)</f>
        <v>36</v>
      </c>
      <c r="N343" s="14">
        <v>1</v>
      </c>
      <c r="O343" s="142">
        <f t="shared" si="11"/>
        <v>17.423999999999999</v>
      </c>
    </row>
    <row r="344" spans="1:15">
      <c r="A344" s="2" t="s">
        <v>965</v>
      </c>
      <c r="B344" s="78" t="s">
        <v>1499</v>
      </c>
      <c r="C344" s="48" t="s">
        <v>291</v>
      </c>
      <c r="D344" s="2" t="s">
        <v>318</v>
      </c>
      <c r="E344" s="2" t="s">
        <v>1507</v>
      </c>
      <c r="F344" s="49" t="s">
        <v>38</v>
      </c>
      <c r="G344" s="50" t="s">
        <v>21</v>
      </c>
      <c r="H344" s="34">
        <v>1</v>
      </c>
      <c r="I344" s="29" t="s">
        <v>253</v>
      </c>
      <c r="J344" s="24">
        <v>1</v>
      </c>
      <c r="K344" s="32">
        <f>VLOOKUP(E344,照明設備稼働時間!$A$4:$E$31,5,FALSE)</f>
        <v>0</v>
      </c>
      <c r="L344" s="32" t="str">
        <f t="shared" si="10"/>
        <v>FHF32W1片反射笠付</v>
      </c>
      <c r="M344" s="14">
        <f>VLOOKUP(L344,照明器具一覧!$B$4:$F$129,5,FALSE)</f>
        <v>36</v>
      </c>
      <c r="N344" s="14">
        <v>1</v>
      </c>
      <c r="O344" s="142">
        <f t="shared" si="11"/>
        <v>0</v>
      </c>
    </row>
    <row r="345" spans="1:15">
      <c r="A345" s="2" t="s">
        <v>966</v>
      </c>
      <c r="B345" s="78" t="s">
        <v>1499</v>
      </c>
      <c r="C345" s="48" t="s">
        <v>292</v>
      </c>
      <c r="D345" s="2" t="s">
        <v>318</v>
      </c>
      <c r="E345" s="2" t="s">
        <v>601</v>
      </c>
      <c r="F345" s="49" t="s">
        <v>268</v>
      </c>
      <c r="G345" s="50" t="s">
        <v>19</v>
      </c>
      <c r="H345" s="34">
        <v>1</v>
      </c>
      <c r="I345" s="29" t="s">
        <v>307</v>
      </c>
      <c r="J345" s="24">
        <v>1</v>
      </c>
      <c r="K345" s="32">
        <f>VLOOKUP(E345,照明設備稼働時間!$A$4:$E$31,5,FALSE)</f>
        <v>2299</v>
      </c>
      <c r="L345" s="32" t="str">
        <f t="shared" si="10"/>
        <v>FHF16W1埋込W　高出力</v>
      </c>
      <c r="M345" s="14">
        <f>VLOOKUP(L345,照明器具一覧!$B$4:$F$129,5,FALSE)</f>
        <v>26</v>
      </c>
      <c r="N345" s="14">
        <v>0.33</v>
      </c>
      <c r="O345" s="142">
        <f t="shared" si="11"/>
        <v>19.725420000000003</v>
      </c>
    </row>
    <row r="346" spans="1:15">
      <c r="A346" s="2" t="s">
        <v>967</v>
      </c>
      <c r="B346" s="78" t="s">
        <v>1499</v>
      </c>
      <c r="C346" s="48" t="s">
        <v>287</v>
      </c>
      <c r="D346" s="2" t="s">
        <v>318</v>
      </c>
      <c r="E346" s="2" t="s">
        <v>600</v>
      </c>
      <c r="F346" s="49" t="s">
        <v>326</v>
      </c>
      <c r="G346" s="50" t="s">
        <v>21</v>
      </c>
      <c r="H346" s="34">
        <v>2</v>
      </c>
      <c r="I346" s="29" t="s">
        <v>305</v>
      </c>
      <c r="J346" s="24">
        <v>100</v>
      </c>
      <c r="K346" s="32">
        <f>VLOOKUP(E346,照明設備稼働時間!$A$4:$E$31,5,FALSE)</f>
        <v>2299</v>
      </c>
      <c r="L346" s="32" t="str">
        <f t="shared" si="10"/>
        <v>FHF32W2システム天井</v>
      </c>
      <c r="M346" s="14">
        <f>VLOOKUP(L346,照明器具一覧!$B$4:$F$129,5,FALSE)</f>
        <v>72</v>
      </c>
      <c r="N346" s="14">
        <v>1</v>
      </c>
      <c r="O346" s="142">
        <f t="shared" si="11"/>
        <v>16552.8</v>
      </c>
    </row>
    <row r="347" spans="1:15">
      <c r="A347" s="2" t="s">
        <v>968</v>
      </c>
      <c r="B347" s="78" t="s">
        <v>1499</v>
      </c>
      <c r="C347" s="48" t="s">
        <v>282</v>
      </c>
      <c r="D347" s="2" t="s">
        <v>318</v>
      </c>
      <c r="E347" s="2" t="s">
        <v>44</v>
      </c>
      <c r="F347" s="49" t="s">
        <v>327</v>
      </c>
      <c r="G347" s="50" t="s">
        <v>21</v>
      </c>
      <c r="H347" s="34">
        <v>1</v>
      </c>
      <c r="I347" s="29" t="s">
        <v>301</v>
      </c>
      <c r="J347" s="24">
        <v>2</v>
      </c>
      <c r="K347" s="32">
        <f>VLOOKUP(E347,照明設備稼働時間!$A$4:$E$31,5,FALSE)</f>
        <v>242</v>
      </c>
      <c r="L347" s="32" t="str">
        <f t="shared" si="10"/>
        <v>FHF32W1逆富士</v>
      </c>
      <c r="M347" s="14">
        <f>VLOOKUP(L347,照明器具一覧!$B$4:$F$129,5,FALSE)</f>
        <v>36</v>
      </c>
      <c r="N347" s="14">
        <v>1</v>
      </c>
      <c r="O347" s="142">
        <f t="shared" si="11"/>
        <v>17.423999999999999</v>
      </c>
    </row>
    <row r="348" spans="1:15">
      <c r="A348" s="2" t="s">
        <v>969</v>
      </c>
      <c r="B348" s="78" t="s">
        <v>1499</v>
      </c>
      <c r="C348" s="48" t="s">
        <v>82</v>
      </c>
      <c r="D348" s="2" t="s">
        <v>318</v>
      </c>
      <c r="E348" s="2" t="s">
        <v>44</v>
      </c>
      <c r="F348" s="49" t="s">
        <v>34</v>
      </c>
      <c r="G348" s="50" t="s">
        <v>21</v>
      </c>
      <c r="H348" s="34">
        <v>1</v>
      </c>
      <c r="I348" s="29" t="s">
        <v>88</v>
      </c>
      <c r="J348" s="24">
        <v>8</v>
      </c>
      <c r="K348" s="32">
        <f>VLOOKUP(E348,照明設備稼働時間!$A$4:$E$31,5,FALSE)</f>
        <v>242</v>
      </c>
      <c r="L348" s="32" t="str">
        <f t="shared" si="10"/>
        <v>FHF32W1笠付</v>
      </c>
      <c r="M348" s="14">
        <f>VLOOKUP(L348,照明器具一覧!$B$4:$F$129,5,FALSE)</f>
        <v>36</v>
      </c>
      <c r="N348" s="14">
        <v>1</v>
      </c>
      <c r="O348" s="142">
        <f t="shared" si="11"/>
        <v>69.695999999999998</v>
      </c>
    </row>
    <row r="349" spans="1:15">
      <c r="A349" s="2" t="s">
        <v>970</v>
      </c>
      <c r="B349" s="78" t="s">
        <v>1499</v>
      </c>
      <c r="C349" s="48" t="s">
        <v>28</v>
      </c>
      <c r="D349" s="2" t="s">
        <v>318</v>
      </c>
      <c r="E349" s="2" t="s">
        <v>606</v>
      </c>
      <c r="F349" s="49" t="s">
        <v>329</v>
      </c>
      <c r="G349" s="50" t="s">
        <v>21</v>
      </c>
      <c r="H349" s="34">
        <v>1</v>
      </c>
      <c r="I349" s="29" t="s">
        <v>29</v>
      </c>
      <c r="J349" s="24">
        <v>2</v>
      </c>
      <c r="K349" s="32">
        <f>VLOOKUP(E349,照明設備稼働時間!$A$4:$E$31,5,FALSE)</f>
        <v>242</v>
      </c>
      <c r="L349" s="32" t="str">
        <f t="shared" si="10"/>
        <v>FHF32W1埋込W190</v>
      </c>
      <c r="M349" s="14">
        <f>VLOOKUP(L349,照明器具一覧!$B$4:$F$129,5,FALSE)</f>
        <v>36</v>
      </c>
      <c r="N349" s="14">
        <v>1</v>
      </c>
      <c r="O349" s="142">
        <f t="shared" si="11"/>
        <v>17.423999999999999</v>
      </c>
    </row>
    <row r="350" spans="1:15">
      <c r="A350" s="2" t="s">
        <v>971</v>
      </c>
      <c r="B350" s="78" t="s">
        <v>1499</v>
      </c>
      <c r="C350" s="48" t="s">
        <v>330</v>
      </c>
      <c r="D350" s="2" t="s">
        <v>318</v>
      </c>
      <c r="E350" s="2" t="s">
        <v>606</v>
      </c>
      <c r="F350" s="49" t="s">
        <v>329</v>
      </c>
      <c r="G350" s="50" t="s">
        <v>21</v>
      </c>
      <c r="H350" s="34">
        <v>2</v>
      </c>
      <c r="I350" s="29" t="s">
        <v>331</v>
      </c>
      <c r="J350" s="24">
        <v>3</v>
      </c>
      <c r="K350" s="32">
        <f>VLOOKUP(E350,照明設備稼働時間!$A$4:$E$31,5,FALSE)</f>
        <v>242</v>
      </c>
      <c r="L350" s="32" t="str">
        <f t="shared" si="10"/>
        <v>FHF32W2埋込W300</v>
      </c>
      <c r="M350" s="14">
        <f>VLOOKUP(L350,照明器具一覧!$B$4:$F$129,5,FALSE)</f>
        <v>71</v>
      </c>
      <c r="N350" s="14">
        <v>1</v>
      </c>
      <c r="O350" s="142">
        <f t="shared" si="11"/>
        <v>51.545999999999999</v>
      </c>
    </row>
    <row r="351" spans="1:15">
      <c r="A351" s="2" t="s">
        <v>972</v>
      </c>
      <c r="B351" s="78" t="s">
        <v>1499</v>
      </c>
      <c r="C351" s="48" t="s">
        <v>282</v>
      </c>
      <c r="D351" s="2" t="s">
        <v>318</v>
      </c>
      <c r="E351" s="2" t="s">
        <v>603</v>
      </c>
      <c r="F351" s="49" t="s">
        <v>310</v>
      </c>
      <c r="G351" s="50" t="s">
        <v>21</v>
      </c>
      <c r="H351" s="34">
        <v>1</v>
      </c>
      <c r="I351" s="29" t="s">
        <v>301</v>
      </c>
      <c r="J351" s="24">
        <v>1</v>
      </c>
      <c r="K351" s="32">
        <f>VLOOKUP(E351,照明設備稼働時間!$A$4:$E$31,5,FALSE)</f>
        <v>968</v>
      </c>
      <c r="L351" s="32" t="str">
        <f t="shared" si="10"/>
        <v>FHF32W1逆富士</v>
      </c>
      <c r="M351" s="14">
        <f>VLOOKUP(L351,照明器具一覧!$B$4:$F$129,5,FALSE)</f>
        <v>36</v>
      </c>
      <c r="N351" s="14">
        <v>1</v>
      </c>
      <c r="O351" s="142">
        <f t="shared" si="11"/>
        <v>34.847999999999999</v>
      </c>
    </row>
    <row r="352" spans="1:15">
      <c r="A352" s="2" t="s">
        <v>973</v>
      </c>
      <c r="B352" s="78" t="s">
        <v>1499</v>
      </c>
      <c r="C352" s="48"/>
      <c r="D352" s="2" t="s">
        <v>318</v>
      </c>
      <c r="E352" s="2" t="s">
        <v>603</v>
      </c>
      <c r="F352" s="49" t="s">
        <v>310</v>
      </c>
      <c r="G352" s="50" t="s">
        <v>304</v>
      </c>
      <c r="H352" s="34">
        <v>1</v>
      </c>
      <c r="I352" s="14" t="s">
        <v>316</v>
      </c>
      <c r="J352" s="24">
        <v>3</v>
      </c>
      <c r="K352" s="32">
        <f>VLOOKUP(E352,照明設備稼働時間!$A$4:$E$31,5,FALSE)</f>
        <v>968</v>
      </c>
      <c r="L352" s="32" t="str">
        <f t="shared" si="10"/>
        <v>LED電球1レセップ</v>
      </c>
      <c r="M352" s="14">
        <f>VLOOKUP(L352,照明器具一覧!$B$4:$F$129,5,FALSE)</f>
        <v>4.5999999999999996</v>
      </c>
      <c r="N352" s="14">
        <v>0.66</v>
      </c>
      <c r="O352" s="142">
        <f t="shared" si="11"/>
        <v>8.8165440000000004</v>
      </c>
    </row>
    <row r="353" spans="1:15">
      <c r="A353" s="2" t="s">
        <v>974</v>
      </c>
      <c r="B353" s="78" t="s">
        <v>1499</v>
      </c>
      <c r="C353" s="48" t="s">
        <v>282</v>
      </c>
      <c r="D353" s="2" t="s">
        <v>318</v>
      </c>
      <c r="E353" s="2" t="s">
        <v>603</v>
      </c>
      <c r="F353" s="49" t="s">
        <v>311</v>
      </c>
      <c r="G353" s="50" t="s">
        <v>21</v>
      </c>
      <c r="H353" s="34">
        <v>1</v>
      </c>
      <c r="I353" s="14" t="s">
        <v>301</v>
      </c>
      <c r="J353" s="24">
        <v>1</v>
      </c>
      <c r="K353" s="32">
        <f>VLOOKUP(E353,照明設備稼働時間!$A$4:$E$31,5,FALSE)</f>
        <v>968</v>
      </c>
      <c r="L353" s="32" t="str">
        <f t="shared" si="10"/>
        <v>FHF32W1逆富士</v>
      </c>
      <c r="M353" s="14">
        <f>VLOOKUP(L353,照明器具一覧!$B$4:$F$129,5,FALSE)</f>
        <v>36</v>
      </c>
      <c r="N353" s="14">
        <v>1</v>
      </c>
      <c r="O353" s="142">
        <f t="shared" si="11"/>
        <v>34.847999999999999</v>
      </c>
    </row>
    <row r="354" spans="1:15">
      <c r="A354" s="2" t="s">
        <v>975</v>
      </c>
      <c r="B354" s="78" t="s">
        <v>1499</v>
      </c>
      <c r="C354" s="48"/>
      <c r="D354" s="2" t="s">
        <v>318</v>
      </c>
      <c r="E354" s="2" t="s">
        <v>603</v>
      </c>
      <c r="F354" s="49" t="s">
        <v>311</v>
      </c>
      <c r="G354" s="50" t="s">
        <v>304</v>
      </c>
      <c r="H354" s="34">
        <v>1</v>
      </c>
      <c r="I354" s="29" t="s">
        <v>316</v>
      </c>
      <c r="J354" s="24">
        <v>2</v>
      </c>
      <c r="K354" s="32">
        <f>VLOOKUP(E354,照明設備稼働時間!$A$4:$E$31,5,FALSE)</f>
        <v>968</v>
      </c>
      <c r="L354" s="32" t="str">
        <f t="shared" si="10"/>
        <v>LED電球1レセップ</v>
      </c>
      <c r="M354" s="14">
        <f>VLOOKUP(L354,照明器具一覧!$B$4:$F$129,5,FALSE)</f>
        <v>4.5999999999999996</v>
      </c>
      <c r="N354" s="14">
        <v>0.5</v>
      </c>
      <c r="O354" s="142">
        <f t="shared" si="11"/>
        <v>4.452799999999999</v>
      </c>
    </row>
    <row r="355" spans="1:15">
      <c r="A355" s="2" t="s">
        <v>976</v>
      </c>
      <c r="B355" s="78" t="s">
        <v>1499</v>
      </c>
      <c r="C355" s="48" t="s">
        <v>323</v>
      </c>
      <c r="D355" s="2" t="s">
        <v>318</v>
      </c>
      <c r="E355" s="2" t="s">
        <v>601</v>
      </c>
      <c r="F355" s="49" t="s">
        <v>273</v>
      </c>
      <c r="G355" s="50" t="s">
        <v>21</v>
      </c>
      <c r="H355" s="34">
        <v>1</v>
      </c>
      <c r="I355" s="29" t="s">
        <v>302</v>
      </c>
      <c r="J355" s="24">
        <v>3</v>
      </c>
      <c r="K355" s="32">
        <f>VLOOKUP(E355,照明設備稼働時間!$A$4:$E$31,5,FALSE)</f>
        <v>2299</v>
      </c>
      <c r="L355" s="32" t="str">
        <f t="shared" si="10"/>
        <v>FHF32W1埋込W190</v>
      </c>
      <c r="M355" s="14">
        <f>VLOOKUP(L355,照明器具一覧!$B$4:$F$129,5,FALSE)</f>
        <v>36</v>
      </c>
      <c r="N355" s="14">
        <v>0.33</v>
      </c>
      <c r="O355" s="142">
        <f t="shared" si="11"/>
        <v>81.936360000000008</v>
      </c>
    </row>
    <row r="356" spans="1:15">
      <c r="A356" s="2" t="s">
        <v>977</v>
      </c>
      <c r="B356" s="78" t="s">
        <v>1499</v>
      </c>
      <c r="C356" s="48" t="s">
        <v>285</v>
      </c>
      <c r="D356" s="2" t="s">
        <v>318</v>
      </c>
      <c r="E356" s="2" t="s">
        <v>601</v>
      </c>
      <c r="F356" s="49" t="s">
        <v>274</v>
      </c>
      <c r="G356" s="50" t="s">
        <v>21</v>
      </c>
      <c r="H356" s="34">
        <v>1</v>
      </c>
      <c r="I356" s="29" t="s">
        <v>552</v>
      </c>
      <c r="J356" s="24">
        <v>1</v>
      </c>
      <c r="K356" s="32">
        <f>VLOOKUP(E356,照明設備稼働時間!$A$4:$E$31,5,FALSE)</f>
        <v>2299</v>
      </c>
      <c r="L356" s="32" t="str">
        <f t="shared" si="10"/>
        <v>FHF32W1階段灯　非常灯付</v>
      </c>
      <c r="M356" s="14">
        <f>VLOOKUP(L356,照明器具一覧!$B$4:$F$129,5,FALSE)</f>
        <v>36</v>
      </c>
      <c r="N356" s="14">
        <v>1</v>
      </c>
      <c r="O356" s="142">
        <f t="shared" si="11"/>
        <v>82.763999999999996</v>
      </c>
    </row>
    <row r="357" spans="1:15">
      <c r="A357" s="2" t="s">
        <v>978</v>
      </c>
      <c r="B357" s="78" t="s">
        <v>1499</v>
      </c>
      <c r="C357" s="48" t="s">
        <v>286</v>
      </c>
      <c r="D357" s="2" t="s">
        <v>318</v>
      </c>
      <c r="E357" s="2" t="s">
        <v>601</v>
      </c>
      <c r="F357" s="49" t="s">
        <v>274</v>
      </c>
      <c r="G357" s="50" t="s">
        <v>21</v>
      </c>
      <c r="H357" s="34">
        <v>1</v>
      </c>
      <c r="I357" s="29" t="s">
        <v>552</v>
      </c>
      <c r="J357" s="24">
        <v>1</v>
      </c>
      <c r="K357" s="32">
        <f>VLOOKUP(E357,照明設備稼働時間!$A$4:$E$31,5,FALSE)</f>
        <v>2299</v>
      </c>
      <c r="L357" s="32" t="str">
        <f t="shared" si="10"/>
        <v>FHF32W1階段灯　非常灯付</v>
      </c>
      <c r="M357" s="14">
        <f>VLOOKUP(L357,照明器具一覧!$B$4:$F$129,5,FALSE)</f>
        <v>36</v>
      </c>
      <c r="N357" s="14">
        <v>1</v>
      </c>
      <c r="O357" s="142">
        <f t="shared" si="11"/>
        <v>82.763999999999996</v>
      </c>
    </row>
    <row r="358" spans="1:15">
      <c r="A358" s="2" t="s">
        <v>979</v>
      </c>
      <c r="B358" s="78" t="s">
        <v>1499</v>
      </c>
      <c r="C358" s="48" t="s">
        <v>282</v>
      </c>
      <c r="D358" s="2" t="s">
        <v>318</v>
      </c>
      <c r="E358" s="29" t="s">
        <v>1513</v>
      </c>
      <c r="F358" s="49" t="s">
        <v>312</v>
      </c>
      <c r="G358" s="50" t="s">
        <v>21</v>
      </c>
      <c r="H358" s="34">
        <v>1</v>
      </c>
      <c r="I358" s="29" t="s">
        <v>301</v>
      </c>
      <c r="J358" s="24">
        <v>1</v>
      </c>
      <c r="K358" s="32">
        <f>VLOOKUP(E358,照明設備稼働時間!$A$4:$E$31,5,FALSE)</f>
        <v>484</v>
      </c>
      <c r="L358" s="32" t="str">
        <f t="shared" si="10"/>
        <v>FHF32W1逆富士</v>
      </c>
      <c r="M358" s="14">
        <f>VLOOKUP(L358,照明器具一覧!$B$4:$F$129,5,FALSE)</f>
        <v>36</v>
      </c>
      <c r="N358" s="14">
        <v>1</v>
      </c>
      <c r="O358" s="142">
        <f t="shared" si="11"/>
        <v>17.423999999999999</v>
      </c>
    </row>
    <row r="359" spans="1:15">
      <c r="A359" s="2" t="s">
        <v>980</v>
      </c>
      <c r="B359" s="78" t="s">
        <v>1499</v>
      </c>
      <c r="C359" s="48" t="s">
        <v>282</v>
      </c>
      <c r="D359" s="2" t="s">
        <v>318</v>
      </c>
      <c r="E359" s="2" t="s">
        <v>44</v>
      </c>
      <c r="F359" s="49" t="s">
        <v>313</v>
      </c>
      <c r="G359" s="50" t="s">
        <v>21</v>
      </c>
      <c r="H359" s="34">
        <v>1</v>
      </c>
      <c r="I359" s="29" t="s">
        <v>301</v>
      </c>
      <c r="J359" s="24">
        <v>1</v>
      </c>
      <c r="K359" s="32">
        <f>VLOOKUP(E359,照明設備稼働時間!$A$4:$E$31,5,FALSE)</f>
        <v>242</v>
      </c>
      <c r="L359" s="32" t="str">
        <f t="shared" si="10"/>
        <v>FHF32W1逆富士</v>
      </c>
      <c r="M359" s="14">
        <f>VLOOKUP(L359,照明器具一覧!$B$4:$F$129,5,FALSE)</f>
        <v>36</v>
      </c>
      <c r="N359" s="14">
        <v>1</v>
      </c>
      <c r="O359" s="142">
        <f t="shared" si="11"/>
        <v>8.7119999999999997</v>
      </c>
    </row>
    <row r="360" spans="1:15">
      <c r="A360" s="2" t="s">
        <v>981</v>
      </c>
      <c r="B360" s="78" t="s">
        <v>1499</v>
      </c>
      <c r="C360" s="48" t="s">
        <v>284</v>
      </c>
      <c r="D360" s="2" t="s">
        <v>318</v>
      </c>
      <c r="E360" s="2" t="s">
        <v>1507</v>
      </c>
      <c r="F360" s="49" t="s">
        <v>61</v>
      </c>
      <c r="G360" s="50" t="s">
        <v>19</v>
      </c>
      <c r="H360" s="34">
        <v>1</v>
      </c>
      <c r="I360" s="29" t="s">
        <v>303</v>
      </c>
      <c r="J360" s="24">
        <v>1</v>
      </c>
      <c r="K360" s="32">
        <f>VLOOKUP(E360,照明設備稼働時間!$A$4:$E$31,5,FALSE)</f>
        <v>0</v>
      </c>
      <c r="L360" s="32" t="str">
        <f t="shared" si="10"/>
        <v>FHF16W1片反射笠付（高出力）</v>
      </c>
      <c r="M360" s="14">
        <f>VLOOKUP(L360,照明器具一覧!$B$4:$F$129,5,FALSE)</f>
        <v>26</v>
      </c>
      <c r="N360" s="14">
        <v>1</v>
      </c>
      <c r="O360" s="142">
        <f t="shared" si="11"/>
        <v>0</v>
      </c>
    </row>
    <row r="361" spans="1:15">
      <c r="A361" s="2" t="s">
        <v>982</v>
      </c>
      <c r="B361" s="78" t="s">
        <v>1499</v>
      </c>
      <c r="C361" s="48" t="s">
        <v>287</v>
      </c>
      <c r="D361" s="2" t="s">
        <v>318</v>
      </c>
      <c r="E361" s="2" t="s">
        <v>606</v>
      </c>
      <c r="F361" s="49" t="s">
        <v>276</v>
      </c>
      <c r="G361" s="50" t="s">
        <v>21</v>
      </c>
      <c r="H361" s="34">
        <v>2</v>
      </c>
      <c r="I361" s="29" t="s">
        <v>281</v>
      </c>
      <c r="J361" s="24">
        <v>6</v>
      </c>
      <c r="K361" s="32">
        <f>VLOOKUP(E361,照明設備稼働時間!$A$4:$E$31,5,FALSE)</f>
        <v>242</v>
      </c>
      <c r="L361" s="32" t="str">
        <f t="shared" si="10"/>
        <v>FHF32W2システム天井</v>
      </c>
      <c r="M361" s="14">
        <f>VLOOKUP(L361,照明器具一覧!$B$4:$F$129,5,FALSE)</f>
        <v>72</v>
      </c>
      <c r="N361" s="14">
        <v>1</v>
      </c>
      <c r="O361" s="142">
        <f t="shared" si="11"/>
        <v>104.544</v>
      </c>
    </row>
    <row r="362" spans="1:15">
      <c r="A362" s="2" t="s">
        <v>983</v>
      </c>
      <c r="B362" s="78" t="s">
        <v>1499</v>
      </c>
      <c r="C362" s="48" t="s">
        <v>287</v>
      </c>
      <c r="D362" s="2" t="s">
        <v>318</v>
      </c>
      <c r="E362" s="2" t="s">
        <v>600</v>
      </c>
      <c r="F362" s="49" t="s">
        <v>321</v>
      </c>
      <c r="G362" s="50" t="s">
        <v>21</v>
      </c>
      <c r="H362" s="34">
        <v>2</v>
      </c>
      <c r="I362" s="29" t="s">
        <v>281</v>
      </c>
      <c r="J362" s="24">
        <v>53</v>
      </c>
      <c r="K362" s="32">
        <f>VLOOKUP(E362,照明設備稼働時間!$A$4:$E$31,5,FALSE)</f>
        <v>2299</v>
      </c>
      <c r="L362" s="32" t="str">
        <f t="shared" si="10"/>
        <v>FHF32W2システム天井</v>
      </c>
      <c r="M362" s="14">
        <f>VLOOKUP(L362,照明器具一覧!$B$4:$F$129,5,FALSE)</f>
        <v>72</v>
      </c>
      <c r="N362" s="14">
        <v>1</v>
      </c>
      <c r="O362" s="142">
        <f t="shared" si="11"/>
        <v>8772.9840000000004</v>
      </c>
    </row>
    <row r="363" spans="1:15">
      <c r="A363" s="2" t="s">
        <v>984</v>
      </c>
      <c r="B363" s="78" t="s">
        <v>1499</v>
      </c>
      <c r="C363" s="48" t="s">
        <v>288</v>
      </c>
      <c r="D363" s="2" t="s">
        <v>318</v>
      </c>
      <c r="E363" s="2" t="s">
        <v>600</v>
      </c>
      <c r="F363" s="49" t="s">
        <v>321</v>
      </c>
      <c r="G363" s="50" t="s">
        <v>19</v>
      </c>
      <c r="H363" s="34">
        <v>2</v>
      </c>
      <c r="I363" s="29" t="s">
        <v>281</v>
      </c>
      <c r="J363" s="24">
        <v>1</v>
      </c>
      <c r="K363" s="32">
        <f>VLOOKUP(E363,照明設備稼働時間!$A$4:$E$31,5,FALSE)</f>
        <v>2299</v>
      </c>
      <c r="L363" s="32" t="str">
        <f t="shared" si="10"/>
        <v>FHF16W2システム天井</v>
      </c>
      <c r="M363" s="14">
        <f>VLOOKUP(L363,照明器具一覧!$B$4:$F$129,5,FALSE)</f>
        <v>26</v>
      </c>
      <c r="N363" s="14">
        <v>1</v>
      </c>
      <c r="O363" s="142">
        <f t="shared" si="11"/>
        <v>59.774000000000001</v>
      </c>
    </row>
    <row r="364" spans="1:15">
      <c r="A364" s="2" t="s">
        <v>985</v>
      </c>
      <c r="B364" s="78" t="s">
        <v>1499</v>
      </c>
      <c r="C364" s="48" t="s">
        <v>291</v>
      </c>
      <c r="D364" s="2" t="s">
        <v>318</v>
      </c>
      <c r="E364" s="2" t="s">
        <v>1507</v>
      </c>
      <c r="F364" s="49" t="s">
        <v>64</v>
      </c>
      <c r="G364" s="50" t="s">
        <v>21</v>
      </c>
      <c r="H364" s="34">
        <v>1</v>
      </c>
      <c r="I364" s="29" t="s">
        <v>253</v>
      </c>
      <c r="J364" s="24">
        <v>1</v>
      </c>
      <c r="K364" s="32">
        <f>VLOOKUP(E364,照明設備稼働時間!$A$4:$E$31,5,FALSE)</f>
        <v>0</v>
      </c>
      <c r="L364" s="32" t="str">
        <f t="shared" si="10"/>
        <v>FHF32W1片反射笠付</v>
      </c>
      <c r="M364" s="14">
        <f>VLOOKUP(L364,照明器具一覧!$B$4:$F$129,5,FALSE)</f>
        <v>36</v>
      </c>
      <c r="N364" s="14">
        <v>1</v>
      </c>
      <c r="O364" s="142">
        <f t="shared" si="11"/>
        <v>0</v>
      </c>
    </row>
    <row r="365" spans="1:15">
      <c r="A365" s="2" t="s">
        <v>986</v>
      </c>
      <c r="B365" s="78" t="s">
        <v>1499</v>
      </c>
      <c r="C365" s="48" t="s">
        <v>294</v>
      </c>
      <c r="D365" s="2" t="s">
        <v>318</v>
      </c>
      <c r="E365" s="2" t="s">
        <v>606</v>
      </c>
      <c r="F365" s="49" t="s">
        <v>314</v>
      </c>
      <c r="G365" s="50" t="s">
        <v>21</v>
      </c>
      <c r="H365" s="34">
        <v>1</v>
      </c>
      <c r="I365" s="14" t="s">
        <v>251</v>
      </c>
      <c r="J365" s="24">
        <v>2</v>
      </c>
      <c r="K365" s="32">
        <f>VLOOKUP(E365,照明設備稼働時間!$A$4:$E$31,5,FALSE)</f>
        <v>242</v>
      </c>
      <c r="L365" s="32" t="str">
        <f t="shared" si="10"/>
        <v>FHF32W1笠付</v>
      </c>
      <c r="M365" s="14">
        <f>VLOOKUP(L365,照明器具一覧!$B$4:$F$129,5,FALSE)</f>
        <v>36</v>
      </c>
      <c r="N365" s="14">
        <v>1</v>
      </c>
      <c r="O365" s="142">
        <f t="shared" si="11"/>
        <v>17.423999999999999</v>
      </c>
    </row>
    <row r="366" spans="1:15">
      <c r="A366" s="2" t="s">
        <v>987</v>
      </c>
      <c r="B366" s="78" t="s">
        <v>1499</v>
      </c>
      <c r="C366" s="48" t="s">
        <v>292</v>
      </c>
      <c r="D366" s="2" t="s">
        <v>318</v>
      </c>
      <c r="E366" s="2" t="s">
        <v>601</v>
      </c>
      <c r="F366" s="49" t="s">
        <v>278</v>
      </c>
      <c r="G366" s="50" t="s">
        <v>19</v>
      </c>
      <c r="H366" s="34">
        <v>1</v>
      </c>
      <c r="I366" s="29" t="s">
        <v>307</v>
      </c>
      <c r="J366" s="24">
        <v>1</v>
      </c>
      <c r="K366" s="32">
        <f>VLOOKUP(E366,照明設備稼働時間!$A$4:$E$31,5,FALSE)</f>
        <v>2299</v>
      </c>
      <c r="L366" s="32" t="str">
        <f t="shared" si="10"/>
        <v>FHF16W1埋込W　高出力</v>
      </c>
      <c r="M366" s="14">
        <f>VLOOKUP(L366,照明器具一覧!$B$4:$F$129,5,FALSE)</f>
        <v>26</v>
      </c>
      <c r="N366" s="14">
        <v>0.33</v>
      </c>
      <c r="O366" s="142">
        <f t="shared" si="11"/>
        <v>19.725420000000003</v>
      </c>
    </row>
    <row r="367" spans="1:15">
      <c r="A367" s="2" t="s">
        <v>988</v>
      </c>
      <c r="B367" s="78" t="s">
        <v>1499</v>
      </c>
      <c r="C367" s="48" t="s">
        <v>283</v>
      </c>
      <c r="D367" s="2" t="s">
        <v>318</v>
      </c>
      <c r="E367" s="2" t="s">
        <v>1508</v>
      </c>
      <c r="F367" s="49" t="s">
        <v>65</v>
      </c>
      <c r="G367" s="50" t="s">
        <v>21</v>
      </c>
      <c r="H367" s="34">
        <v>1</v>
      </c>
      <c r="I367" s="29" t="s">
        <v>302</v>
      </c>
      <c r="J367" s="24">
        <v>2</v>
      </c>
      <c r="K367" s="32">
        <f>VLOOKUP(E367,照明設備稼働時間!$A$4:$E$31,5,FALSE)</f>
        <v>8760</v>
      </c>
      <c r="L367" s="32" t="str">
        <f t="shared" si="10"/>
        <v>FHF32W1埋込W190</v>
      </c>
      <c r="M367" s="14">
        <f>VLOOKUP(L367,照明器具一覧!$B$4:$F$129,5,FALSE)</f>
        <v>36</v>
      </c>
      <c r="N367" s="14">
        <v>1</v>
      </c>
      <c r="O367" s="142">
        <f t="shared" si="11"/>
        <v>630.72</v>
      </c>
    </row>
    <row r="368" spans="1:15">
      <c r="A368" s="2" t="s">
        <v>989</v>
      </c>
      <c r="B368" s="78" t="s">
        <v>1499</v>
      </c>
      <c r="C368" s="48"/>
      <c r="D368" s="2" t="s">
        <v>318</v>
      </c>
      <c r="E368" s="2" t="s">
        <v>1508</v>
      </c>
      <c r="F368" s="49" t="s">
        <v>65</v>
      </c>
      <c r="G368" s="50" t="s">
        <v>72</v>
      </c>
      <c r="H368" s="34">
        <v>1</v>
      </c>
      <c r="I368" s="29" t="s">
        <v>73</v>
      </c>
      <c r="J368" s="24">
        <v>1</v>
      </c>
      <c r="K368" s="32">
        <f>VLOOKUP(E368,照明設備稼働時間!$A$4:$E$31,5,FALSE)</f>
        <v>8760</v>
      </c>
      <c r="L368" s="32" t="str">
        <f t="shared" si="10"/>
        <v>IL60W1ダウンライト</v>
      </c>
      <c r="M368" s="14">
        <f>VLOOKUP(L368,照明器具一覧!$B$4:$F$129,5,FALSE)</f>
        <v>60</v>
      </c>
      <c r="N368" s="14">
        <v>1</v>
      </c>
      <c r="O368" s="142">
        <f t="shared" si="11"/>
        <v>525.6</v>
      </c>
    </row>
    <row r="369" spans="1:15">
      <c r="A369" s="2" t="s">
        <v>990</v>
      </c>
      <c r="B369" s="78" t="s">
        <v>1499</v>
      </c>
      <c r="C369" s="48" t="s">
        <v>285</v>
      </c>
      <c r="D369" s="2" t="s">
        <v>318</v>
      </c>
      <c r="E369" s="2" t="s">
        <v>601</v>
      </c>
      <c r="F369" s="49" t="s">
        <v>279</v>
      </c>
      <c r="G369" s="50" t="s">
        <v>21</v>
      </c>
      <c r="H369" s="34">
        <v>1</v>
      </c>
      <c r="I369" s="14" t="s">
        <v>552</v>
      </c>
      <c r="J369" s="24">
        <v>1</v>
      </c>
      <c r="K369" s="32">
        <f>VLOOKUP(E369,照明設備稼働時間!$A$4:$E$31,5,FALSE)</f>
        <v>2299</v>
      </c>
      <c r="L369" s="32" t="str">
        <f t="shared" si="10"/>
        <v>FHF32W1階段灯　非常灯付</v>
      </c>
      <c r="M369" s="14">
        <f>VLOOKUP(L369,照明器具一覧!$B$4:$F$129,5,FALSE)</f>
        <v>36</v>
      </c>
      <c r="N369" s="14">
        <v>1</v>
      </c>
      <c r="O369" s="142">
        <f t="shared" si="11"/>
        <v>82.763999999999996</v>
      </c>
    </row>
    <row r="370" spans="1:15">
      <c r="A370" s="2" t="s">
        <v>991</v>
      </c>
      <c r="B370" s="78" t="s">
        <v>1499</v>
      </c>
      <c r="C370" s="48" t="s">
        <v>286</v>
      </c>
      <c r="D370" s="2" t="s">
        <v>318</v>
      </c>
      <c r="E370" s="2" t="s">
        <v>601</v>
      </c>
      <c r="F370" s="49" t="s">
        <v>279</v>
      </c>
      <c r="G370" s="50" t="s">
        <v>21</v>
      </c>
      <c r="H370" s="34">
        <v>1</v>
      </c>
      <c r="I370" s="14" t="s">
        <v>552</v>
      </c>
      <c r="J370" s="24">
        <v>1</v>
      </c>
      <c r="K370" s="32">
        <f>VLOOKUP(E370,照明設備稼働時間!$A$4:$E$31,5,FALSE)</f>
        <v>2299</v>
      </c>
      <c r="L370" s="32" t="str">
        <f t="shared" si="10"/>
        <v>FHF32W1階段灯　非常灯付</v>
      </c>
      <c r="M370" s="14">
        <f>VLOOKUP(L370,照明器具一覧!$B$4:$F$129,5,FALSE)</f>
        <v>36</v>
      </c>
      <c r="N370" s="14">
        <v>1</v>
      </c>
      <c r="O370" s="142">
        <f t="shared" si="11"/>
        <v>82.763999999999996</v>
      </c>
    </row>
    <row r="371" spans="1:15">
      <c r="A371" s="2" t="s">
        <v>992</v>
      </c>
      <c r="B371" s="78" t="s">
        <v>1499</v>
      </c>
      <c r="C371" s="48" t="s">
        <v>287</v>
      </c>
      <c r="D371" s="2" t="s">
        <v>318</v>
      </c>
      <c r="E371" s="2" t="s">
        <v>600</v>
      </c>
      <c r="F371" s="49" t="s">
        <v>328</v>
      </c>
      <c r="G371" s="50" t="s">
        <v>21</v>
      </c>
      <c r="H371" s="34">
        <v>2</v>
      </c>
      <c r="I371" s="14" t="s">
        <v>305</v>
      </c>
      <c r="J371" s="24">
        <v>20</v>
      </c>
      <c r="K371" s="32">
        <f>VLOOKUP(E371,照明設備稼働時間!$A$4:$E$31,5,FALSE)</f>
        <v>2299</v>
      </c>
      <c r="L371" s="32" t="str">
        <f t="shared" si="10"/>
        <v>FHF32W2システム天井</v>
      </c>
      <c r="M371" s="14">
        <f>VLOOKUP(L371,照明器具一覧!$B$4:$F$129,5,FALSE)</f>
        <v>72</v>
      </c>
      <c r="N371" s="14">
        <v>1</v>
      </c>
      <c r="O371" s="142">
        <f t="shared" si="11"/>
        <v>3310.56</v>
      </c>
    </row>
    <row r="372" spans="1:15">
      <c r="A372" s="2" t="s">
        <v>993</v>
      </c>
      <c r="B372" s="78" t="s">
        <v>1499</v>
      </c>
      <c r="C372" s="48" t="s">
        <v>287</v>
      </c>
      <c r="D372" s="2" t="s">
        <v>318</v>
      </c>
      <c r="E372" s="2" t="s">
        <v>600</v>
      </c>
      <c r="F372" s="49" t="s">
        <v>322</v>
      </c>
      <c r="G372" s="50" t="s">
        <v>21</v>
      </c>
      <c r="H372" s="34">
        <v>2</v>
      </c>
      <c r="I372" s="14" t="s">
        <v>305</v>
      </c>
      <c r="J372" s="24">
        <v>96</v>
      </c>
      <c r="K372" s="32">
        <f>VLOOKUP(E372,照明設備稼働時間!$A$4:$E$31,5,FALSE)</f>
        <v>2299</v>
      </c>
      <c r="L372" s="32" t="str">
        <f t="shared" si="10"/>
        <v>FHF32W2システム天井</v>
      </c>
      <c r="M372" s="14">
        <f>VLOOKUP(L372,照明器具一覧!$B$4:$F$129,5,FALSE)</f>
        <v>72</v>
      </c>
      <c r="N372" s="14">
        <v>1</v>
      </c>
      <c r="O372" s="142">
        <f t="shared" si="11"/>
        <v>15890.688</v>
      </c>
    </row>
    <row r="373" spans="1:15">
      <c r="A373" s="2" t="s">
        <v>994</v>
      </c>
      <c r="B373" s="78" t="s">
        <v>1499</v>
      </c>
      <c r="C373" s="48" t="s">
        <v>288</v>
      </c>
      <c r="D373" s="2" t="s">
        <v>318</v>
      </c>
      <c r="E373" s="2" t="s">
        <v>600</v>
      </c>
      <c r="F373" s="49" t="s">
        <v>322</v>
      </c>
      <c r="G373" s="50" t="s">
        <v>19</v>
      </c>
      <c r="H373" s="34">
        <v>2</v>
      </c>
      <c r="I373" s="14" t="s">
        <v>305</v>
      </c>
      <c r="J373" s="24">
        <v>4</v>
      </c>
      <c r="K373" s="32">
        <f>VLOOKUP(E373,照明設備稼働時間!$A$4:$E$31,5,FALSE)</f>
        <v>2299</v>
      </c>
      <c r="L373" s="32" t="str">
        <f t="shared" si="10"/>
        <v>FHF16W2システム天井</v>
      </c>
      <c r="M373" s="14">
        <f>VLOOKUP(L373,照明器具一覧!$B$4:$F$129,5,FALSE)</f>
        <v>26</v>
      </c>
      <c r="N373" s="14">
        <v>1</v>
      </c>
      <c r="O373" s="142">
        <f t="shared" si="11"/>
        <v>239.096</v>
      </c>
    </row>
    <row r="374" spans="1:15">
      <c r="A374" s="2" t="s">
        <v>995</v>
      </c>
      <c r="B374" s="78" t="s">
        <v>1499</v>
      </c>
      <c r="C374" s="29" t="s">
        <v>67</v>
      </c>
      <c r="D374" s="2" t="s">
        <v>318</v>
      </c>
      <c r="E374" s="2" t="s">
        <v>77</v>
      </c>
      <c r="F374" s="29" t="s">
        <v>57</v>
      </c>
      <c r="G374" s="29" t="s">
        <v>97</v>
      </c>
      <c r="H374" s="34">
        <v>1</v>
      </c>
      <c r="I374" s="14" t="s">
        <v>594</v>
      </c>
      <c r="J374" s="29">
        <v>1</v>
      </c>
      <c r="K374" s="32">
        <f>VLOOKUP(E374,照明設備稼働時間!$A$4:$E$31,5,FALSE)</f>
        <v>8760</v>
      </c>
      <c r="L374" s="32" t="str">
        <f t="shared" si="10"/>
        <v>CF2.2W1誘導灯C級片面</v>
      </c>
      <c r="M374" s="14">
        <f>VLOOKUP(L374,照明器具一覧!$B$4:$F$129,5,FALSE)</f>
        <v>4</v>
      </c>
      <c r="N374" s="14">
        <v>1</v>
      </c>
      <c r="O374" s="142">
        <f t="shared" si="11"/>
        <v>35.04</v>
      </c>
    </row>
    <row r="375" spans="1:15">
      <c r="A375" s="2" t="s">
        <v>996</v>
      </c>
      <c r="B375" s="78" t="s">
        <v>1499</v>
      </c>
      <c r="C375" s="29" t="s">
        <v>69</v>
      </c>
      <c r="D375" s="2" t="s">
        <v>318</v>
      </c>
      <c r="E375" s="2" t="s">
        <v>77</v>
      </c>
      <c r="F375" s="29" t="s">
        <v>39</v>
      </c>
      <c r="G375" s="29" t="s">
        <v>97</v>
      </c>
      <c r="H375" s="34">
        <v>1</v>
      </c>
      <c r="I375" s="14" t="s">
        <v>594</v>
      </c>
      <c r="J375" s="29">
        <v>1</v>
      </c>
      <c r="K375" s="32">
        <f>VLOOKUP(E375,照明設備稼働時間!$A$4:$E$31,5,FALSE)</f>
        <v>8760</v>
      </c>
      <c r="L375" s="32" t="str">
        <f t="shared" si="10"/>
        <v>CF2.2W1誘導灯C級片面</v>
      </c>
      <c r="M375" s="14">
        <f>VLOOKUP(L375,照明器具一覧!$B$4:$F$129,5,FALSE)</f>
        <v>4</v>
      </c>
      <c r="N375" s="14">
        <v>1</v>
      </c>
      <c r="O375" s="142">
        <f t="shared" si="11"/>
        <v>35.04</v>
      </c>
    </row>
    <row r="376" spans="1:15">
      <c r="A376" s="2" t="s">
        <v>997</v>
      </c>
      <c r="B376" s="78" t="s">
        <v>1499</v>
      </c>
      <c r="C376" s="29" t="s">
        <v>67</v>
      </c>
      <c r="D376" s="2" t="s">
        <v>318</v>
      </c>
      <c r="E376" s="2" t="s">
        <v>77</v>
      </c>
      <c r="F376" s="29" t="s">
        <v>45</v>
      </c>
      <c r="G376" s="29" t="s">
        <v>97</v>
      </c>
      <c r="H376" s="34">
        <v>1</v>
      </c>
      <c r="I376" s="14" t="s">
        <v>594</v>
      </c>
      <c r="J376" s="29">
        <v>1</v>
      </c>
      <c r="K376" s="32">
        <f>VLOOKUP(E376,照明設備稼働時間!$A$4:$E$31,5,FALSE)</f>
        <v>8760</v>
      </c>
      <c r="L376" s="32" t="str">
        <f t="shared" si="10"/>
        <v>CF2.2W1誘導灯C級片面</v>
      </c>
      <c r="M376" s="14">
        <f>VLOOKUP(L376,照明器具一覧!$B$4:$F$129,5,FALSE)</f>
        <v>4</v>
      </c>
      <c r="N376" s="14">
        <v>1</v>
      </c>
      <c r="O376" s="142">
        <f t="shared" si="11"/>
        <v>35.04</v>
      </c>
    </row>
    <row r="377" spans="1:15">
      <c r="A377" s="2" t="s">
        <v>998</v>
      </c>
      <c r="B377" s="78" t="s">
        <v>1499</v>
      </c>
      <c r="C377" s="29" t="s">
        <v>68</v>
      </c>
      <c r="D377" s="2" t="s">
        <v>318</v>
      </c>
      <c r="E377" s="2" t="s">
        <v>77</v>
      </c>
      <c r="F377" s="29" t="s">
        <v>45</v>
      </c>
      <c r="G377" s="29" t="s">
        <v>98</v>
      </c>
      <c r="H377" s="34">
        <v>1</v>
      </c>
      <c r="I377" s="14" t="s">
        <v>594</v>
      </c>
      <c r="J377" s="29">
        <v>1</v>
      </c>
      <c r="K377" s="32">
        <f>VLOOKUP(E377,照明設備稼働時間!$A$4:$E$31,5,FALSE)</f>
        <v>8760</v>
      </c>
      <c r="L377" s="32" t="str">
        <f t="shared" si="10"/>
        <v>CF2W1誘導灯C級片面</v>
      </c>
      <c r="M377" s="14">
        <f>VLOOKUP(L377,照明器具一覧!$B$4:$F$129,5,FALSE)</f>
        <v>4</v>
      </c>
      <c r="N377" s="14">
        <v>1</v>
      </c>
      <c r="O377" s="142">
        <f t="shared" si="11"/>
        <v>35.04</v>
      </c>
    </row>
    <row r="378" spans="1:15">
      <c r="A378" s="2" t="s">
        <v>999</v>
      </c>
      <c r="B378" s="78" t="s">
        <v>1499</v>
      </c>
      <c r="C378" s="29" t="s">
        <v>67</v>
      </c>
      <c r="D378" s="2" t="s">
        <v>318</v>
      </c>
      <c r="E378" s="2" t="s">
        <v>77</v>
      </c>
      <c r="F378" s="29" t="s">
        <v>65</v>
      </c>
      <c r="G378" s="29" t="s">
        <v>97</v>
      </c>
      <c r="H378" s="34">
        <v>1</v>
      </c>
      <c r="I378" s="14" t="s">
        <v>594</v>
      </c>
      <c r="J378" s="29">
        <v>1</v>
      </c>
      <c r="K378" s="32">
        <f>VLOOKUP(E378,照明設備稼働時間!$A$4:$E$31,5,FALSE)</f>
        <v>8760</v>
      </c>
      <c r="L378" s="32" t="str">
        <f t="shared" si="10"/>
        <v>CF2.2W1誘導灯C級片面</v>
      </c>
      <c r="M378" s="14">
        <f>VLOOKUP(L378,照明器具一覧!$B$4:$F$129,5,FALSE)</f>
        <v>4</v>
      </c>
      <c r="N378" s="14">
        <v>1</v>
      </c>
      <c r="O378" s="142">
        <f t="shared" si="11"/>
        <v>35.04</v>
      </c>
    </row>
    <row r="379" spans="1:15">
      <c r="A379" s="2" t="s">
        <v>1000</v>
      </c>
      <c r="B379" s="78" t="s">
        <v>1499</v>
      </c>
      <c r="C379" s="29" t="s">
        <v>69</v>
      </c>
      <c r="D379" s="2" t="s">
        <v>318</v>
      </c>
      <c r="E379" s="2" t="s">
        <v>77</v>
      </c>
      <c r="F379" s="29" t="s">
        <v>49</v>
      </c>
      <c r="G379" s="29" t="s">
        <v>97</v>
      </c>
      <c r="H379" s="34">
        <v>1</v>
      </c>
      <c r="I379" s="14" t="s">
        <v>594</v>
      </c>
      <c r="J379" s="29">
        <v>1</v>
      </c>
      <c r="K379" s="32">
        <f>VLOOKUP(E379,照明設備稼働時間!$A$4:$E$31,5,FALSE)</f>
        <v>8760</v>
      </c>
      <c r="L379" s="32" t="str">
        <f t="shared" si="10"/>
        <v>CF2.2W1誘導灯C級片面</v>
      </c>
      <c r="M379" s="14">
        <f>VLOOKUP(L379,照明器具一覧!$B$4:$F$129,5,FALSE)</f>
        <v>4</v>
      </c>
      <c r="N379" s="14">
        <v>1</v>
      </c>
      <c r="O379" s="142">
        <f t="shared" si="11"/>
        <v>35.04</v>
      </c>
    </row>
    <row r="380" spans="1:15">
      <c r="A380" s="2" t="s">
        <v>1001</v>
      </c>
      <c r="B380" s="78" t="s">
        <v>1499</v>
      </c>
      <c r="C380" s="29" t="s">
        <v>67</v>
      </c>
      <c r="D380" s="2" t="s">
        <v>318</v>
      </c>
      <c r="E380" s="2" t="s">
        <v>77</v>
      </c>
      <c r="F380" s="29" t="s">
        <v>23</v>
      </c>
      <c r="G380" s="29" t="s">
        <v>97</v>
      </c>
      <c r="H380" s="34">
        <v>1</v>
      </c>
      <c r="I380" s="14" t="s">
        <v>594</v>
      </c>
      <c r="J380" s="29">
        <v>1</v>
      </c>
      <c r="K380" s="32">
        <f>VLOOKUP(E380,照明設備稼働時間!$A$4:$E$31,5,FALSE)</f>
        <v>8760</v>
      </c>
      <c r="L380" s="32" t="str">
        <f t="shared" si="10"/>
        <v>CF2.2W1誘導灯C級片面</v>
      </c>
      <c r="M380" s="14">
        <f>VLOOKUP(L380,照明器具一覧!$B$4:$F$129,5,FALSE)</f>
        <v>4</v>
      </c>
      <c r="N380" s="14">
        <v>1</v>
      </c>
      <c r="O380" s="142">
        <f t="shared" si="11"/>
        <v>35.04</v>
      </c>
    </row>
    <row r="381" spans="1:15">
      <c r="A381" s="2" t="s">
        <v>1002</v>
      </c>
      <c r="B381" s="78" t="s">
        <v>1499</v>
      </c>
      <c r="C381" s="29" t="s">
        <v>68</v>
      </c>
      <c r="D381" s="2" t="s">
        <v>318</v>
      </c>
      <c r="E381" s="2" t="s">
        <v>77</v>
      </c>
      <c r="F381" s="29" t="s">
        <v>23</v>
      </c>
      <c r="G381" s="29" t="s">
        <v>98</v>
      </c>
      <c r="H381" s="34">
        <v>1</v>
      </c>
      <c r="I381" s="14" t="s">
        <v>594</v>
      </c>
      <c r="J381" s="29">
        <v>1</v>
      </c>
      <c r="K381" s="32">
        <f>VLOOKUP(E381,照明設備稼働時間!$A$4:$E$31,5,FALSE)</f>
        <v>8760</v>
      </c>
      <c r="L381" s="32" t="str">
        <f t="shared" si="10"/>
        <v>CF2W1誘導灯C級片面</v>
      </c>
      <c r="M381" s="14">
        <f>VLOOKUP(L381,照明器具一覧!$B$4:$F$129,5,FALSE)</f>
        <v>4</v>
      </c>
      <c r="N381" s="14">
        <v>1</v>
      </c>
      <c r="O381" s="142">
        <f t="shared" si="11"/>
        <v>35.04</v>
      </c>
    </row>
    <row r="382" spans="1:15">
      <c r="A382" s="2" t="s">
        <v>1003</v>
      </c>
      <c r="B382" s="78" t="s">
        <v>1499</v>
      </c>
      <c r="C382" s="29" t="s">
        <v>69</v>
      </c>
      <c r="D382" s="2" t="s">
        <v>318</v>
      </c>
      <c r="E382" s="2" t="s">
        <v>77</v>
      </c>
      <c r="F382" s="29" t="s">
        <v>11</v>
      </c>
      <c r="G382" s="29" t="s">
        <v>97</v>
      </c>
      <c r="H382" s="34">
        <v>1</v>
      </c>
      <c r="I382" s="14" t="s">
        <v>594</v>
      </c>
      <c r="J382" s="29">
        <v>2</v>
      </c>
      <c r="K382" s="32">
        <f>VLOOKUP(E382,照明設備稼働時間!$A$4:$E$31,5,FALSE)</f>
        <v>8760</v>
      </c>
      <c r="L382" s="32" t="str">
        <f t="shared" si="10"/>
        <v>CF2.2W1誘導灯C級片面</v>
      </c>
      <c r="M382" s="14">
        <f>VLOOKUP(L382,照明器具一覧!$B$4:$F$129,5,FALSE)</f>
        <v>4</v>
      </c>
      <c r="N382" s="14">
        <v>1</v>
      </c>
      <c r="O382" s="142">
        <f t="shared" si="11"/>
        <v>70.08</v>
      </c>
    </row>
    <row r="383" spans="1:15">
      <c r="A383" s="2" t="s">
        <v>1004</v>
      </c>
      <c r="B383" s="78" t="s">
        <v>1499</v>
      </c>
      <c r="C383" s="29" t="s">
        <v>68</v>
      </c>
      <c r="D383" s="2" t="s">
        <v>318</v>
      </c>
      <c r="E383" s="2" t="s">
        <v>77</v>
      </c>
      <c r="F383" s="29" t="s">
        <v>11</v>
      </c>
      <c r="G383" s="29" t="s">
        <v>98</v>
      </c>
      <c r="H383" s="34">
        <v>1</v>
      </c>
      <c r="I383" s="14" t="s">
        <v>594</v>
      </c>
      <c r="J383" s="29">
        <v>8</v>
      </c>
      <c r="K383" s="32">
        <f>VLOOKUP(E383,照明設備稼働時間!$A$4:$E$31,5,FALSE)</f>
        <v>8760</v>
      </c>
      <c r="L383" s="32" t="str">
        <f t="shared" si="10"/>
        <v>CF2W1誘導灯C級片面</v>
      </c>
      <c r="M383" s="14">
        <f>VLOOKUP(L383,照明器具一覧!$B$4:$F$129,5,FALSE)</f>
        <v>4</v>
      </c>
      <c r="N383" s="14">
        <v>1</v>
      </c>
      <c r="O383" s="142">
        <f t="shared" si="11"/>
        <v>280.32</v>
      </c>
    </row>
    <row r="384" spans="1:15">
      <c r="A384" s="2" t="s">
        <v>1005</v>
      </c>
      <c r="B384" s="78" t="s">
        <v>1499</v>
      </c>
      <c r="C384" s="29"/>
      <c r="D384" s="2" t="s">
        <v>318</v>
      </c>
      <c r="E384" s="2" t="s">
        <v>624</v>
      </c>
      <c r="F384" s="29" t="s">
        <v>71</v>
      </c>
      <c r="G384" s="29" t="s">
        <v>72</v>
      </c>
      <c r="H384" s="34">
        <v>1</v>
      </c>
      <c r="I384" s="29" t="s">
        <v>585</v>
      </c>
      <c r="J384" s="29">
        <v>83</v>
      </c>
      <c r="K384" s="32">
        <f>VLOOKUP(E384,照明設備稼働時間!$A$4:$E$31,5,FALSE)</f>
        <v>0</v>
      </c>
      <c r="L384" s="32" t="str">
        <f t="shared" si="10"/>
        <v>IL60W1非常照明　電源別置型</v>
      </c>
      <c r="M384" s="14">
        <f>VLOOKUP(L384,照明器具一覧!$B$4:$F$129,5,FALSE)</f>
        <v>60</v>
      </c>
      <c r="N384" s="14">
        <v>1</v>
      </c>
      <c r="O384" s="142">
        <f t="shared" si="11"/>
        <v>0</v>
      </c>
    </row>
    <row r="385" spans="1:15">
      <c r="A385" s="2" t="s">
        <v>1006</v>
      </c>
      <c r="B385" s="78" t="s">
        <v>1499</v>
      </c>
      <c r="C385" s="29" t="s">
        <v>581</v>
      </c>
      <c r="D385" s="2" t="s">
        <v>318</v>
      </c>
      <c r="E385" s="2" t="s">
        <v>624</v>
      </c>
      <c r="F385" s="29" t="s">
        <v>71</v>
      </c>
      <c r="G385" s="29" t="s">
        <v>218</v>
      </c>
      <c r="H385" s="34">
        <v>1</v>
      </c>
      <c r="I385" s="29" t="s">
        <v>585</v>
      </c>
      <c r="J385" s="29">
        <v>1</v>
      </c>
      <c r="K385" s="32">
        <f>VLOOKUP(E385,照明設備稼働時間!$A$4:$E$31,5,FALSE)</f>
        <v>0</v>
      </c>
      <c r="L385" s="32" t="str">
        <f t="shared" si="10"/>
        <v>IL40W1非常照明　電源別置型</v>
      </c>
      <c r="M385" s="14">
        <f>VLOOKUP(L385,照明器具一覧!$B$4:$F$129,5,FALSE)</f>
        <v>40</v>
      </c>
      <c r="N385" s="14">
        <v>1</v>
      </c>
      <c r="O385" s="142">
        <f t="shared" si="11"/>
        <v>0</v>
      </c>
    </row>
    <row r="386" spans="1:15">
      <c r="A386" s="2" t="s">
        <v>1007</v>
      </c>
      <c r="B386" s="78" t="s">
        <v>1499</v>
      </c>
      <c r="C386" s="48" t="s">
        <v>282</v>
      </c>
      <c r="D386" s="2" t="s">
        <v>260</v>
      </c>
      <c r="E386" s="2" t="s">
        <v>44</v>
      </c>
      <c r="F386" s="49" t="s">
        <v>297</v>
      </c>
      <c r="G386" s="50" t="s">
        <v>21</v>
      </c>
      <c r="H386" s="34">
        <v>1</v>
      </c>
      <c r="I386" s="29" t="s">
        <v>301</v>
      </c>
      <c r="J386" s="24">
        <v>1</v>
      </c>
      <c r="K386" s="32">
        <f>VLOOKUP(E386,照明設備稼働時間!$A$4:$E$31,5,FALSE)</f>
        <v>242</v>
      </c>
      <c r="L386" s="32" t="str">
        <f t="shared" si="10"/>
        <v>FHF32W1逆富士</v>
      </c>
      <c r="M386" s="14">
        <f>VLOOKUP(L386,照明器具一覧!$B$4:$F$129,5,FALSE)</f>
        <v>36</v>
      </c>
      <c r="N386" s="14">
        <v>1</v>
      </c>
      <c r="O386" s="142">
        <f t="shared" si="11"/>
        <v>8.7119999999999997</v>
      </c>
    </row>
    <row r="387" spans="1:15">
      <c r="A387" s="2" t="s">
        <v>1008</v>
      </c>
      <c r="B387" s="78" t="s">
        <v>1499</v>
      </c>
      <c r="C387" s="48" t="s">
        <v>282</v>
      </c>
      <c r="D387" s="2" t="s">
        <v>260</v>
      </c>
      <c r="E387" s="29" t="s">
        <v>1513</v>
      </c>
      <c r="F387" s="49" t="s">
        <v>298</v>
      </c>
      <c r="G387" s="50" t="s">
        <v>21</v>
      </c>
      <c r="H387" s="34">
        <v>1</v>
      </c>
      <c r="I387" s="29" t="s">
        <v>301</v>
      </c>
      <c r="J387" s="24">
        <v>1</v>
      </c>
      <c r="K387" s="32">
        <f>VLOOKUP(E387,照明設備稼働時間!$A$4:$E$31,5,FALSE)</f>
        <v>484</v>
      </c>
      <c r="L387" s="32" t="str">
        <f t="shared" si="10"/>
        <v>FHF32W1逆富士</v>
      </c>
      <c r="M387" s="14">
        <f>VLOOKUP(L387,照明器具一覧!$B$4:$F$129,5,FALSE)</f>
        <v>36</v>
      </c>
      <c r="N387" s="14">
        <v>1</v>
      </c>
      <c r="O387" s="142">
        <f t="shared" si="11"/>
        <v>17.423999999999999</v>
      </c>
    </row>
    <row r="388" spans="1:15">
      <c r="A388" s="2" t="s">
        <v>1009</v>
      </c>
      <c r="B388" s="78" t="s">
        <v>1499</v>
      </c>
      <c r="C388" s="48" t="s">
        <v>283</v>
      </c>
      <c r="D388" s="2" t="s">
        <v>260</v>
      </c>
      <c r="E388" s="2" t="s">
        <v>601</v>
      </c>
      <c r="F388" s="49" t="s">
        <v>261</v>
      </c>
      <c r="G388" s="50" t="s">
        <v>21</v>
      </c>
      <c r="H388" s="34">
        <v>1</v>
      </c>
      <c r="I388" s="29" t="s">
        <v>302</v>
      </c>
      <c r="J388" s="24">
        <v>3</v>
      </c>
      <c r="K388" s="32">
        <f>VLOOKUP(E388,照明設備稼働時間!$A$4:$E$31,5,FALSE)</f>
        <v>2299</v>
      </c>
      <c r="L388" s="32" t="str">
        <f t="shared" ref="L388:L451" si="12">G388&amp;H388&amp;I388</f>
        <v>FHF32W1埋込W190</v>
      </c>
      <c r="M388" s="14">
        <f>VLOOKUP(L388,照明器具一覧!$B$4:$F$129,5,FALSE)</f>
        <v>36</v>
      </c>
      <c r="N388" s="14">
        <v>0.33</v>
      </c>
      <c r="O388" s="142">
        <f t="shared" si="11"/>
        <v>81.936360000000008</v>
      </c>
    </row>
    <row r="389" spans="1:15">
      <c r="A389" s="2" t="s">
        <v>1010</v>
      </c>
      <c r="B389" s="78" t="s">
        <v>1499</v>
      </c>
      <c r="C389" s="48" t="s">
        <v>284</v>
      </c>
      <c r="D389" s="2" t="s">
        <v>260</v>
      </c>
      <c r="E389" s="2" t="s">
        <v>1507</v>
      </c>
      <c r="F389" s="49" t="s">
        <v>174</v>
      </c>
      <c r="G389" s="50" t="s">
        <v>19</v>
      </c>
      <c r="H389" s="34">
        <v>1</v>
      </c>
      <c r="I389" s="29" t="s">
        <v>303</v>
      </c>
      <c r="J389" s="24">
        <v>1</v>
      </c>
      <c r="K389" s="32">
        <f>VLOOKUP(E389,照明設備稼働時間!$A$4:$E$31,5,FALSE)</f>
        <v>0</v>
      </c>
      <c r="L389" s="32" t="str">
        <f t="shared" si="12"/>
        <v>FHF16W1片反射笠付（高出力）</v>
      </c>
      <c r="M389" s="14">
        <f>VLOOKUP(L389,照明器具一覧!$B$4:$F$129,5,FALSE)</f>
        <v>26</v>
      </c>
      <c r="N389" s="14">
        <v>1</v>
      </c>
      <c r="O389" s="142">
        <f t="shared" ref="O389:O452" si="13">(M389*J389*K389*N389)/1000</f>
        <v>0</v>
      </c>
    </row>
    <row r="390" spans="1:15">
      <c r="A390" s="2" t="s">
        <v>1011</v>
      </c>
      <c r="B390" s="78" t="s">
        <v>1499</v>
      </c>
      <c r="C390" s="48" t="s">
        <v>285</v>
      </c>
      <c r="D390" s="2" t="s">
        <v>260</v>
      </c>
      <c r="E390" s="2" t="s">
        <v>601</v>
      </c>
      <c r="F390" s="49" t="s">
        <v>262</v>
      </c>
      <c r="G390" s="50" t="s">
        <v>21</v>
      </c>
      <c r="H390" s="34">
        <v>1</v>
      </c>
      <c r="I390" s="29" t="s">
        <v>551</v>
      </c>
      <c r="J390" s="24">
        <v>1</v>
      </c>
      <c r="K390" s="32">
        <f>VLOOKUP(E390,照明設備稼働時間!$A$4:$E$31,5,FALSE)</f>
        <v>2299</v>
      </c>
      <c r="L390" s="32" t="str">
        <f t="shared" si="12"/>
        <v>FHF32W1階段灯　非常灯付</v>
      </c>
      <c r="M390" s="14">
        <f>VLOOKUP(L390,照明器具一覧!$B$4:$F$129,5,FALSE)</f>
        <v>36</v>
      </c>
      <c r="N390" s="14">
        <v>1</v>
      </c>
      <c r="O390" s="142">
        <f t="shared" si="13"/>
        <v>82.763999999999996</v>
      </c>
    </row>
    <row r="391" spans="1:15">
      <c r="A391" s="2" t="s">
        <v>1012</v>
      </c>
      <c r="B391" s="78" t="s">
        <v>1499</v>
      </c>
      <c r="C391" s="48" t="s">
        <v>286</v>
      </c>
      <c r="D391" s="2" t="s">
        <v>260</v>
      </c>
      <c r="E391" s="2" t="s">
        <v>601</v>
      </c>
      <c r="F391" s="49" t="s">
        <v>262</v>
      </c>
      <c r="G391" s="50" t="s">
        <v>21</v>
      </c>
      <c r="H391" s="34">
        <v>1</v>
      </c>
      <c r="I391" s="29" t="s">
        <v>551</v>
      </c>
      <c r="J391" s="24">
        <v>1</v>
      </c>
      <c r="K391" s="32">
        <f>VLOOKUP(E391,照明設備稼働時間!$A$4:$E$31,5,FALSE)</f>
        <v>2299</v>
      </c>
      <c r="L391" s="32" t="str">
        <f t="shared" si="12"/>
        <v>FHF32W1階段灯　非常灯付</v>
      </c>
      <c r="M391" s="14">
        <f>VLOOKUP(L391,照明器具一覧!$B$4:$F$129,5,FALSE)</f>
        <v>36</v>
      </c>
      <c r="N391" s="14">
        <v>1</v>
      </c>
      <c r="O391" s="142">
        <f t="shared" si="13"/>
        <v>82.763999999999996</v>
      </c>
    </row>
    <row r="392" spans="1:15">
      <c r="A392" s="2" t="s">
        <v>1013</v>
      </c>
      <c r="B392" s="78" t="s">
        <v>1499</v>
      </c>
      <c r="C392" s="48" t="s">
        <v>282</v>
      </c>
      <c r="D392" s="2" t="s">
        <v>260</v>
      </c>
      <c r="E392" s="2" t="s">
        <v>603</v>
      </c>
      <c r="F392" s="49" t="s">
        <v>299</v>
      </c>
      <c r="G392" s="50" t="s">
        <v>21</v>
      </c>
      <c r="H392" s="34">
        <v>1</v>
      </c>
      <c r="I392" s="29" t="s">
        <v>301</v>
      </c>
      <c r="J392" s="24">
        <v>1</v>
      </c>
      <c r="K392" s="32">
        <f>VLOOKUP(E392,照明設備稼働時間!$A$4:$E$31,5,FALSE)</f>
        <v>968</v>
      </c>
      <c r="L392" s="32" t="str">
        <f t="shared" si="12"/>
        <v>FHF32W1逆富士</v>
      </c>
      <c r="M392" s="14">
        <f>VLOOKUP(L392,照明器具一覧!$B$4:$F$129,5,FALSE)</f>
        <v>36</v>
      </c>
      <c r="N392" s="14">
        <v>1</v>
      </c>
      <c r="O392" s="142">
        <f t="shared" si="13"/>
        <v>34.847999999999999</v>
      </c>
    </row>
    <row r="393" spans="1:15">
      <c r="A393" s="2" t="s">
        <v>1014</v>
      </c>
      <c r="B393" s="78" t="s">
        <v>1499</v>
      </c>
      <c r="C393" s="48"/>
      <c r="D393" s="2" t="s">
        <v>260</v>
      </c>
      <c r="E393" s="2" t="s">
        <v>603</v>
      </c>
      <c r="F393" s="49" t="s">
        <v>299</v>
      </c>
      <c r="G393" s="50" t="s">
        <v>304</v>
      </c>
      <c r="H393" s="34">
        <v>1</v>
      </c>
      <c r="I393" s="29" t="s">
        <v>316</v>
      </c>
      <c r="J393" s="24">
        <v>3</v>
      </c>
      <c r="K393" s="32">
        <f>VLOOKUP(E393,照明設備稼働時間!$A$4:$E$31,5,FALSE)</f>
        <v>968</v>
      </c>
      <c r="L393" s="32" t="str">
        <f t="shared" si="12"/>
        <v>LED電球1レセップ</v>
      </c>
      <c r="M393" s="14">
        <f>VLOOKUP(L393,照明器具一覧!$B$4:$F$129,5,FALSE)</f>
        <v>4.5999999999999996</v>
      </c>
      <c r="N393" s="14">
        <v>0.66</v>
      </c>
      <c r="O393" s="142">
        <f t="shared" si="13"/>
        <v>8.8165440000000004</v>
      </c>
    </row>
    <row r="394" spans="1:15">
      <c r="A394" s="2" t="s">
        <v>1015</v>
      </c>
      <c r="B394" s="78" t="s">
        <v>1499</v>
      </c>
      <c r="C394" s="48" t="s">
        <v>282</v>
      </c>
      <c r="D394" s="2" t="s">
        <v>260</v>
      </c>
      <c r="E394" s="2" t="s">
        <v>603</v>
      </c>
      <c r="F394" s="49" t="s">
        <v>300</v>
      </c>
      <c r="G394" s="50" t="s">
        <v>21</v>
      </c>
      <c r="H394" s="34">
        <v>1</v>
      </c>
      <c r="I394" s="29" t="s">
        <v>301</v>
      </c>
      <c r="J394" s="24">
        <v>1</v>
      </c>
      <c r="K394" s="32">
        <f>VLOOKUP(E394,照明設備稼働時間!$A$4:$E$31,5,FALSE)</f>
        <v>968</v>
      </c>
      <c r="L394" s="32" t="str">
        <f t="shared" si="12"/>
        <v>FHF32W1逆富士</v>
      </c>
      <c r="M394" s="14">
        <f>VLOOKUP(L394,照明器具一覧!$B$4:$F$129,5,FALSE)</f>
        <v>36</v>
      </c>
      <c r="N394" s="14">
        <v>1</v>
      </c>
      <c r="O394" s="142">
        <f t="shared" si="13"/>
        <v>34.847999999999999</v>
      </c>
    </row>
    <row r="395" spans="1:15">
      <c r="A395" s="2" t="s">
        <v>1016</v>
      </c>
      <c r="B395" s="78" t="s">
        <v>1499</v>
      </c>
      <c r="C395" s="48"/>
      <c r="D395" s="2" t="s">
        <v>260</v>
      </c>
      <c r="E395" s="2" t="s">
        <v>603</v>
      </c>
      <c r="F395" s="49" t="s">
        <v>300</v>
      </c>
      <c r="G395" s="50" t="s">
        <v>304</v>
      </c>
      <c r="H395" s="34">
        <v>1</v>
      </c>
      <c r="I395" s="29" t="s">
        <v>316</v>
      </c>
      <c r="J395" s="24">
        <v>2</v>
      </c>
      <c r="K395" s="32">
        <f>VLOOKUP(E395,照明設備稼働時間!$A$4:$E$31,5,FALSE)</f>
        <v>968</v>
      </c>
      <c r="L395" s="32" t="str">
        <f t="shared" si="12"/>
        <v>LED電球1レセップ</v>
      </c>
      <c r="M395" s="14">
        <f>VLOOKUP(L395,照明器具一覧!$B$4:$F$129,5,FALSE)</f>
        <v>4.5999999999999996</v>
      </c>
      <c r="N395" s="14">
        <v>0.5</v>
      </c>
      <c r="O395" s="142">
        <f t="shared" si="13"/>
        <v>4.452799999999999</v>
      </c>
    </row>
    <row r="396" spans="1:15">
      <c r="A396" s="2" t="s">
        <v>1017</v>
      </c>
      <c r="B396" s="78" t="s">
        <v>1499</v>
      </c>
      <c r="C396" s="48" t="s">
        <v>287</v>
      </c>
      <c r="D396" s="2" t="s">
        <v>260</v>
      </c>
      <c r="E396" s="2" t="s">
        <v>600</v>
      </c>
      <c r="F396" s="49" t="s">
        <v>263</v>
      </c>
      <c r="G396" s="50" t="s">
        <v>21</v>
      </c>
      <c r="H396" s="34">
        <v>2</v>
      </c>
      <c r="I396" s="29" t="s">
        <v>305</v>
      </c>
      <c r="J396" s="24">
        <v>17</v>
      </c>
      <c r="K396" s="32">
        <f>VLOOKUP(E396,照明設備稼働時間!$A$4:$E$31,5,FALSE)</f>
        <v>2299</v>
      </c>
      <c r="L396" s="32" t="str">
        <f t="shared" si="12"/>
        <v>FHF32W2システム天井</v>
      </c>
      <c r="M396" s="14">
        <f>VLOOKUP(L396,照明器具一覧!$B$4:$F$129,5,FALSE)</f>
        <v>72</v>
      </c>
      <c r="N396" s="14">
        <v>1</v>
      </c>
      <c r="O396" s="142">
        <f t="shared" si="13"/>
        <v>2813.9760000000001</v>
      </c>
    </row>
    <row r="397" spans="1:15">
      <c r="A397" s="2" t="s">
        <v>1018</v>
      </c>
      <c r="B397" s="78" t="s">
        <v>1499</v>
      </c>
      <c r="C397" s="48" t="s">
        <v>287</v>
      </c>
      <c r="D397" s="2" t="s">
        <v>260</v>
      </c>
      <c r="E397" s="2" t="s">
        <v>600</v>
      </c>
      <c r="F397" s="49" t="s">
        <v>264</v>
      </c>
      <c r="G397" s="50" t="s">
        <v>21</v>
      </c>
      <c r="H397" s="34">
        <v>2</v>
      </c>
      <c r="I397" s="29" t="s">
        <v>281</v>
      </c>
      <c r="J397" s="24">
        <v>41</v>
      </c>
      <c r="K397" s="32">
        <f>VLOOKUP(E397,照明設備稼働時間!$A$4:$E$31,5,FALSE)</f>
        <v>2299</v>
      </c>
      <c r="L397" s="32" t="str">
        <f t="shared" si="12"/>
        <v>FHF32W2システム天井</v>
      </c>
      <c r="M397" s="14">
        <f>VLOOKUP(L397,照明器具一覧!$B$4:$F$129,5,FALSE)</f>
        <v>72</v>
      </c>
      <c r="N397" s="14">
        <v>1</v>
      </c>
      <c r="O397" s="142">
        <f t="shared" si="13"/>
        <v>6786.6480000000001</v>
      </c>
    </row>
    <row r="398" spans="1:15">
      <c r="A398" s="2" t="s">
        <v>1019</v>
      </c>
      <c r="B398" s="78" t="s">
        <v>1499</v>
      </c>
      <c r="C398" s="48" t="s">
        <v>288</v>
      </c>
      <c r="D398" s="2" t="s">
        <v>260</v>
      </c>
      <c r="E398" s="2" t="s">
        <v>600</v>
      </c>
      <c r="F398" s="49" t="s">
        <v>264</v>
      </c>
      <c r="G398" s="50" t="s">
        <v>19</v>
      </c>
      <c r="H398" s="34">
        <v>1</v>
      </c>
      <c r="I398" s="50" t="s">
        <v>281</v>
      </c>
      <c r="J398" s="24">
        <v>1</v>
      </c>
      <c r="K398" s="32">
        <f>VLOOKUP(E398,照明設備稼働時間!$A$4:$E$31,5,FALSE)</f>
        <v>2299</v>
      </c>
      <c r="L398" s="32" t="str">
        <f t="shared" si="12"/>
        <v>FHF16W1システム天井</v>
      </c>
      <c r="M398" s="14">
        <f>VLOOKUP(L398,照明器具一覧!$B$4:$F$129,5,FALSE)</f>
        <v>38</v>
      </c>
      <c r="N398" s="14">
        <v>1</v>
      </c>
      <c r="O398" s="142">
        <f t="shared" si="13"/>
        <v>87.361999999999995</v>
      </c>
    </row>
    <row r="399" spans="1:15">
      <c r="A399" s="2" t="s">
        <v>1020</v>
      </c>
      <c r="B399" s="78" t="s">
        <v>1499</v>
      </c>
      <c r="C399" s="48" t="s">
        <v>283</v>
      </c>
      <c r="D399" s="2" t="s">
        <v>260</v>
      </c>
      <c r="E399" s="2" t="s">
        <v>265</v>
      </c>
      <c r="F399" s="49" t="s">
        <v>265</v>
      </c>
      <c r="G399" s="50" t="s">
        <v>21</v>
      </c>
      <c r="H399" s="34">
        <v>1</v>
      </c>
      <c r="I399" s="29" t="s">
        <v>302</v>
      </c>
      <c r="J399" s="24">
        <v>4</v>
      </c>
      <c r="K399" s="32">
        <f>VLOOKUP(E399,照明設備稼働時間!$A$4:$E$31,5,FALSE)</f>
        <v>2602</v>
      </c>
      <c r="L399" s="32" t="str">
        <f t="shared" si="12"/>
        <v>FHF32W1埋込W190</v>
      </c>
      <c r="M399" s="14">
        <f>VLOOKUP(L399,照明器具一覧!$B$4:$F$129,5,FALSE)</f>
        <v>36</v>
      </c>
      <c r="N399" s="14">
        <v>1</v>
      </c>
      <c r="O399" s="142">
        <f t="shared" si="13"/>
        <v>374.68799999999999</v>
      </c>
    </row>
    <row r="400" spans="1:15">
      <c r="A400" s="2" t="s">
        <v>1021</v>
      </c>
      <c r="B400" s="78" t="s">
        <v>1499</v>
      </c>
      <c r="C400" s="48"/>
      <c r="D400" s="2" t="s">
        <v>260</v>
      </c>
      <c r="E400" s="2" t="s">
        <v>265</v>
      </c>
      <c r="F400" s="49" t="s">
        <v>265</v>
      </c>
      <c r="G400" s="50" t="s">
        <v>72</v>
      </c>
      <c r="H400" s="34">
        <v>1</v>
      </c>
      <c r="I400" s="29" t="s">
        <v>73</v>
      </c>
      <c r="J400" s="24">
        <v>5</v>
      </c>
      <c r="K400" s="32">
        <f>VLOOKUP(E400,照明設備稼働時間!$A$4:$E$31,5,FALSE)</f>
        <v>2602</v>
      </c>
      <c r="L400" s="32" t="str">
        <f t="shared" si="12"/>
        <v>IL60W1ダウンライト</v>
      </c>
      <c r="M400" s="14">
        <f>VLOOKUP(L400,照明器具一覧!$B$4:$F$129,5,FALSE)</f>
        <v>60</v>
      </c>
      <c r="N400" s="14">
        <v>1</v>
      </c>
      <c r="O400" s="142">
        <f t="shared" si="13"/>
        <v>780.6</v>
      </c>
    </row>
    <row r="401" spans="1:15">
      <c r="A401" s="2" t="s">
        <v>1022</v>
      </c>
      <c r="B401" s="78" t="s">
        <v>1499</v>
      </c>
      <c r="C401" s="48" t="s">
        <v>289</v>
      </c>
      <c r="D401" s="2" t="s">
        <v>260</v>
      </c>
      <c r="E401" s="2" t="s">
        <v>601</v>
      </c>
      <c r="F401" s="49" t="s">
        <v>266</v>
      </c>
      <c r="G401" s="50" t="s">
        <v>21</v>
      </c>
      <c r="H401" s="34">
        <v>1</v>
      </c>
      <c r="I401" s="29" t="s">
        <v>89</v>
      </c>
      <c r="J401" s="24">
        <v>77</v>
      </c>
      <c r="K401" s="32">
        <f>VLOOKUP(E401,照明設備稼働時間!$A$4:$E$31,5,FALSE)</f>
        <v>2299</v>
      </c>
      <c r="L401" s="32" t="str">
        <f t="shared" si="12"/>
        <v>FHF32W1トラフ</v>
      </c>
      <c r="M401" s="14">
        <f>VLOOKUP(L401,照明器具一覧!$B$4:$F$129,5,FALSE)</f>
        <v>36</v>
      </c>
      <c r="N401" s="14">
        <v>0.33</v>
      </c>
      <c r="O401" s="142">
        <f t="shared" si="13"/>
        <v>2103.0332400000002</v>
      </c>
    </row>
    <row r="402" spans="1:15">
      <c r="A402" s="2" t="s">
        <v>1023</v>
      </c>
      <c r="B402" s="78" t="s">
        <v>1499</v>
      </c>
      <c r="C402" s="48" t="s">
        <v>290</v>
      </c>
      <c r="D402" s="2" t="s">
        <v>260</v>
      </c>
      <c r="E402" s="2" t="s">
        <v>601</v>
      </c>
      <c r="F402" s="49" t="s">
        <v>266</v>
      </c>
      <c r="G402" s="50" t="s">
        <v>21</v>
      </c>
      <c r="H402" s="34">
        <v>1</v>
      </c>
      <c r="I402" s="29" t="s">
        <v>306</v>
      </c>
      <c r="J402" s="24">
        <v>2</v>
      </c>
      <c r="K402" s="32">
        <f>VLOOKUP(E402,照明設備稼働時間!$A$4:$E$31,5,FALSE)</f>
        <v>2299</v>
      </c>
      <c r="L402" s="32" t="str">
        <f t="shared" si="12"/>
        <v>FHF32W1トラフ</v>
      </c>
      <c r="M402" s="14">
        <f>VLOOKUP(L402,照明器具一覧!$B$4:$F$129,5,FALSE)</f>
        <v>36</v>
      </c>
      <c r="N402" s="14">
        <v>0.33</v>
      </c>
      <c r="O402" s="142">
        <f t="shared" si="13"/>
        <v>54.624240000000007</v>
      </c>
    </row>
    <row r="403" spans="1:15">
      <c r="A403" s="2" t="s">
        <v>1024</v>
      </c>
      <c r="B403" s="78" t="s">
        <v>1499</v>
      </c>
      <c r="C403" s="48"/>
      <c r="D403" s="2" t="s">
        <v>260</v>
      </c>
      <c r="E403" s="2" t="s">
        <v>601</v>
      </c>
      <c r="F403" s="49" t="s">
        <v>315</v>
      </c>
      <c r="G403" s="50" t="s">
        <v>72</v>
      </c>
      <c r="H403" s="34">
        <v>1</v>
      </c>
      <c r="I403" s="29" t="s">
        <v>73</v>
      </c>
      <c r="J403" s="24">
        <v>4</v>
      </c>
      <c r="K403" s="32">
        <f>VLOOKUP(E403,照明設備稼働時間!$A$4:$E$31,5,FALSE)</f>
        <v>2299</v>
      </c>
      <c r="L403" s="32" t="str">
        <f t="shared" si="12"/>
        <v>IL60W1ダウンライト</v>
      </c>
      <c r="M403" s="14">
        <f>VLOOKUP(L403,照明器具一覧!$B$4:$F$129,5,FALSE)</f>
        <v>60</v>
      </c>
      <c r="N403" s="14">
        <v>1</v>
      </c>
      <c r="O403" s="142">
        <f t="shared" si="13"/>
        <v>551.76</v>
      </c>
    </row>
    <row r="404" spans="1:15">
      <c r="A404" s="2" t="s">
        <v>1025</v>
      </c>
      <c r="B404" s="78" t="s">
        <v>1499</v>
      </c>
      <c r="C404" s="48"/>
      <c r="D404" s="2" t="s">
        <v>260</v>
      </c>
      <c r="E404" s="2" t="s">
        <v>601</v>
      </c>
      <c r="F404" s="29" t="s">
        <v>11</v>
      </c>
      <c r="G404" s="29" t="s">
        <v>75</v>
      </c>
      <c r="H404" s="34">
        <v>1</v>
      </c>
      <c r="I404" s="29" t="s">
        <v>76</v>
      </c>
      <c r="J404" s="29">
        <v>5</v>
      </c>
      <c r="K404" s="32">
        <f>VLOOKUP(E404,照明設備稼働時間!$A$4:$E$31,5,FALSE)</f>
        <v>2299</v>
      </c>
      <c r="L404" s="32" t="str">
        <f t="shared" si="12"/>
        <v>LED1ユニバーサルダウンライト</v>
      </c>
      <c r="M404" s="14">
        <f>VLOOKUP(L404,照明器具一覧!$B$4:$F$129,5,FALSE)</f>
        <v>10</v>
      </c>
      <c r="N404" s="14">
        <v>0.33</v>
      </c>
      <c r="O404" s="142">
        <f t="shared" si="13"/>
        <v>37.933500000000002</v>
      </c>
    </row>
    <row r="405" spans="1:15">
      <c r="A405" s="2" t="s">
        <v>1026</v>
      </c>
      <c r="B405" s="78" t="s">
        <v>1499</v>
      </c>
      <c r="C405" s="48" t="s">
        <v>283</v>
      </c>
      <c r="D405" s="2" t="s">
        <v>260</v>
      </c>
      <c r="E405" s="2" t="s">
        <v>1508</v>
      </c>
      <c r="F405" s="49" t="s">
        <v>57</v>
      </c>
      <c r="G405" s="50" t="s">
        <v>21</v>
      </c>
      <c r="H405" s="34">
        <v>1</v>
      </c>
      <c r="I405" s="29" t="s">
        <v>302</v>
      </c>
      <c r="J405" s="24">
        <v>2</v>
      </c>
      <c r="K405" s="32">
        <f>VLOOKUP(E405,照明設備稼働時間!$A$4:$E$31,5,FALSE)</f>
        <v>8760</v>
      </c>
      <c r="L405" s="32" t="str">
        <f t="shared" si="12"/>
        <v>FHF32W1埋込W190</v>
      </c>
      <c r="M405" s="14">
        <f>VLOOKUP(L405,照明器具一覧!$B$4:$F$129,5,FALSE)</f>
        <v>36</v>
      </c>
      <c r="N405" s="14">
        <v>1</v>
      </c>
      <c r="O405" s="142">
        <f t="shared" si="13"/>
        <v>630.72</v>
      </c>
    </row>
    <row r="406" spans="1:15">
      <c r="A406" s="2" t="s">
        <v>1027</v>
      </c>
      <c r="B406" s="78" t="s">
        <v>1499</v>
      </c>
      <c r="C406" s="48"/>
      <c r="D406" s="2" t="s">
        <v>260</v>
      </c>
      <c r="E406" s="2" t="s">
        <v>1508</v>
      </c>
      <c r="F406" s="49" t="s">
        <v>57</v>
      </c>
      <c r="G406" s="50" t="s">
        <v>72</v>
      </c>
      <c r="H406" s="34">
        <v>1</v>
      </c>
      <c r="I406" s="29" t="s">
        <v>73</v>
      </c>
      <c r="J406" s="24">
        <v>1</v>
      </c>
      <c r="K406" s="32">
        <f>VLOOKUP(E406,照明設備稼働時間!$A$4:$E$31,5,FALSE)</f>
        <v>8760</v>
      </c>
      <c r="L406" s="32" t="str">
        <f t="shared" si="12"/>
        <v>IL60W1ダウンライト</v>
      </c>
      <c r="M406" s="14">
        <f>VLOOKUP(L406,照明器具一覧!$B$4:$F$129,5,FALSE)</f>
        <v>60</v>
      </c>
      <c r="N406" s="14">
        <v>1</v>
      </c>
      <c r="O406" s="142">
        <f t="shared" si="13"/>
        <v>525.6</v>
      </c>
    </row>
    <row r="407" spans="1:15">
      <c r="A407" s="2" t="s">
        <v>1028</v>
      </c>
      <c r="B407" s="78" t="s">
        <v>1499</v>
      </c>
      <c r="C407" s="48" t="s">
        <v>285</v>
      </c>
      <c r="D407" s="2" t="s">
        <v>260</v>
      </c>
      <c r="E407" s="2" t="s">
        <v>601</v>
      </c>
      <c r="F407" s="49" t="s">
        <v>267</v>
      </c>
      <c r="G407" s="50" t="s">
        <v>21</v>
      </c>
      <c r="H407" s="34">
        <v>1</v>
      </c>
      <c r="I407" s="29" t="s">
        <v>551</v>
      </c>
      <c r="J407" s="24">
        <v>1</v>
      </c>
      <c r="K407" s="32">
        <f>VLOOKUP(E407,照明設備稼働時間!$A$4:$E$31,5,FALSE)</f>
        <v>2299</v>
      </c>
      <c r="L407" s="32" t="str">
        <f t="shared" si="12"/>
        <v>FHF32W1階段灯　非常灯付</v>
      </c>
      <c r="M407" s="14">
        <f>VLOOKUP(L407,照明器具一覧!$B$4:$F$129,5,FALSE)</f>
        <v>36</v>
      </c>
      <c r="N407" s="14">
        <v>1</v>
      </c>
      <c r="O407" s="142">
        <f t="shared" si="13"/>
        <v>82.763999999999996</v>
      </c>
    </row>
    <row r="408" spans="1:15">
      <c r="A408" s="2" t="s">
        <v>1029</v>
      </c>
      <c r="B408" s="78" t="s">
        <v>1499</v>
      </c>
      <c r="C408" s="48" t="s">
        <v>286</v>
      </c>
      <c r="D408" s="2" t="s">
        <v>260</v>
      </c>
      <c r="E408" s="2" t="s">
        <v>601</v>
      </c>
      <c r="F408" s="49" t="s">
        <v>267</v>
      </c>
      <c r="G408" s="50" t="s">
        <v>21</v>
      </c>
      <c r="H408" s="34">
        <v>1</v>
      </c>
      <c r="I408" s="29" t="s">
        <v>551</v>
      </c>
      <c r="J408" s="24">
        <v>1</v>
      </c>
      <c r="K408" s="32">
        <f>VLOOKUP(E408,照明設備稼働時間!$A$4:$E$31,5,FALSE)</f>
        <v>2299</v>
      </c>
      <c r="L408" s="32" t="str">
        <f t="shared" si="12"/>
        <v>FHF32W1階段灯　非常灯付</v>
      </c>
      <c r="M408" s="14">
        <f>VLOOKUP(L408,照明器具一覧!$B$4:$F$129,5,FALSE)</f>
        <v>36</v>
      </c>
      <c r="N408" s="14">
        <v>1</v>
      </c>
      <c r="O408" s="142">
        <f t="shared" si="13"/>
        <v>82.763999999999996</v>
      </c>
    </row>
    <row r="409" spans="1:15">
      <c r="A409" s="2" t="s">
        <v>1030</v>
      </c>
      <c r="B409" s="78" t="s">
        <v>1499</v>
      </c>
      <c r="C409" s="48" t="s">
        <v>282</v>
      </c>
      <c r="D409" s="2" t="s">
        <v>260</v>
      </c>
      <c r="E409" s="2" t="s">
        <v>44</v>
      </c>
      <c r="F409" s="49" t="s">
        <v>309</v>
      </c>
      <c r="G409" s="50" t="s">
        <v>21</v>
      </c>
      <c r="H409" s="34">
        <v>1</v>
      </c>
      <c r="I409" s="29" t="s">
        <v>301</v>
      </c>
      <c r="J409" s="24">
        <v>2</v>
      </c>
      <c r="K409" s="32">
        <f>VLOOKUP(E409,照明設備稼働時間!$A$4:$E$31,5,FALSE)</f>
        <v>242</v>
      </c>
      <c r="L409" s="32" t="str">
        <f t="shared" si="12"/>
        <v>FHF32W1逆富士</v>
      </c>
      <c r="M409" s="14">
        <f>VLOOKUP(L409,照明器具一覧!$B$4:$F$129,5,FALSE)</f>
        <v>36</v>
      </c>
      <c r="N409" s="14">
        <v>1</v>
      </c>
      <c r="O409" s="142">
        <f t="shared" si="13"/>
        <v>17.423999999999999</v>
      </c>
    </row>
    <row r="410" spans="1:15">
      <c r="A410" s="2" t="s">
        <v>1031</v>
      </c>
      <c r="B410" s="78" t="s">
        <v>1499</v>
      </c>
      <c r="C410" s="48" t="s">
        <v>291</v>
      </c>
      <c r="D410" s="2" t="s">
        <v>260</v>
      </c>
      <c r="E410" s="2" t="s">
        <v>1507</v>
      </c>
      <c r="F410" s="49" t="s">
        <v>38</v>
      </c>
      <c r="G410" s="50" t="s">
        <v>21</v>
      </c>
      <c r="H410" s="34">
        <v>1</v>
      </c>
      <c r="I410" s="29" t="s">
        <v>253</v>
      </c>
      <c r="J410" s="24">
        <v>1</v>
      </c>
      <c r="K410" s="32">
        <f>VLOOKUP(E410,照明設備稼働時間!$A$4:$E$31,5,FALSE)</f>
        <v>0</v>
      </c>
      <c r="L410" s="32" t="str">
        <f t="shared" si="12"/>
        <v>FHF32W1片反射笠付</v>
      </c>
      <c r="M410" s="14">
        <f>VLOOKUP(L410,照明器具一覧!$B$4:$F$129,5,FALSE)</f>
        <v>36</v>
      </c>
      <c r="N410" s="14">
        <v>1</v>
      </c>
      <c r="O410" s="142">
        <f t="shared" si="13"/>
        <v>0</v>
      </c>
    </row>
    <row r="411" spans="1:15">
      <c r="A411" s="2" t="s">
        <v>1032</v>
      </c>
      <c r="B411" s="78" t="s">
        <v>1499</v>
      </c>
      <c r="C411" s="48" t="s">
        <v>292</v>
      </c>
      <c r="D411" s="2" t="s">
        <v>260</v>
      </c>
      <c r="E411" s="2" t="s">
        <v>601</v>
      </c>
      <c r="F411" s="49" t="s">
        <v>268</v>
      </c>
      <c r="G411" s="50" t="s">
        <v>19</v>
      </c>
      <c r="H411" s="34">
        <v>1</v>
      </c>
      <c r="I411" s="29" t="s">
        <v>307</v>
      </c>
      <c r="J411" s="24">
        <v>1</v>
      </c>
      <c r="K411" s="32">
        <f>VLOOKUP(E411,照明設備稼働時間!$A$4:$E$31,5,FALSE)</f>
        <v>2299</v>
      </c>
      <c r="L411" s="32" t="str">
        <f t="shared" si="12"/>
        <v>FHF16W1埋込W　高出力</v>
      </c>
      <c r="M411" s="14">
        <f>VLOOKUP(L411,照明器具一覧!$B$4:$F$129,5,FALSE)</f>
        <v>26</v>
      </c>
      <c r="N411" s="14">
        <v>0.33</v>
      </c>
      <c r="O411" s="142">
        <f t="shared" si="13"/>
        <v>19.725420000000003</v>
      </c>
    </row>
    <row r="412" spans="1:15">
      <c r="A412" s="2" t="s">
        <v>1033</v>
      </c>
      <c r="B412" s="78" t="s">
        <v>1499</v>
      </c>
      <c r="C412" s="48" t="s">
        <v>293</v>
      </c>
      <c r="D412" s="2" t="s">
        <v>260</v>
      </c>
      <c r="E412" s="2" t="s">
        <v>600</v>
      </c>
      <c r="F412" s="49" t="s">
        <v>269</v>
      </c>
      <c r="G412" s="50" t="s">
        <v>21</v>
      </c>
      <c r="H412" s="34">
        <v>2</v>
      </c>
      <c r="I412" s="29" t="s">
        <v>301</v>
      </c>
      <c r="J412" s="24">
        <v>12</v>
      </c>
      <c r="K412" s="32">
        <f>VLOOKUP(E412,照明設備稼働時間!$A$4:$E$31,5,FALSE)</f>
        <v>2299</v>
      </c>
      <c r="L412" s="32" t="str">
        <f t="shared" si="12"/>
        <v>FHF32W2逆富士</v>
      </c>
      <c r="M412" s="14">
        <f>VLOOKUP(L412,照明器具一覧!$B$4:$F$129,5,FALSE)</f>
        <v>72</v>
      </c>
      <c r="N412" s="14">
        <v>1</v>
      </c>
      <c r="O412" s="142">
        <f t="shared" si="13"/>
        <v>1986.336</v>
      </c>
    </row>
    <row r="413" spans="1:15">
      <c r="A413" s="2" t="s">
        <v>1034</v>
      </c>
      <c r="B413" s="78" t="s">
        <v>1499</v>
      </c>
      <c r="C413" s="48" t="s">
        <v>287</v>
      </c>
      <c r="D413" s="2" t="s">
        <v>260</v>
      </c>
      <c r="E413" s="2" t="s">
        <v>600</v>
      </c>
      <c r="F413" s="49" t="s">
        <v>269</v>
      </c>
      <c r="G413" s="50" t="s">
        <v>21</v>
      </c>
      <c r="H413" s="34">
        <v>2</v>
      </c>
      <c r="I413" s="50" t="s">
        <v>281</v>
      </c>
      <c r="J413" s="24">
        <v>4</v>
      </c>
      <c r="K413" s="32">
        <f>VLOOKUP(E413,照明設備稼働時間!$A$4:$E$31,5,FALSE)</f>
        <v>2299</v>
      </c>
      <c r="L413" s="32" t="str">
        <f t="shared" si="12"/>
        <v>FHF32W2システム天井</v>
      </c>
      <c r="M413" s="14">
        <f>VLOOKUP(L413,照明器具一覧!$B$4:$F$129,5,FALSE)</f>
        <v>72</v>
      </c>
      <c r="N413" s="14">
        <v>1</v>
      </c>
      <c r="O413" s="142">
        <f t="shared" si="13"/>
        <v>662.11199999999997</v>
      </c>
    </row>
    <row r="414" spans="1:15">
      <c r="A414" s="2" t="s">
        <v>1035</v>
      </c>
      <c r="B414" s="78" t="s">
        <v>1499</v>
      </c>
      <c r="C414" s="48" t="s">
        <v>287</v>
      </c>
      <c r="D414" s="2" t="s">
        <v>260</v>
      </c>
      <c r="E414" s="2" t="s">
        <v>600</v>
      </c>
      <c r="F414" s="49" t="s">
        <v>270</v>
      </c>
      <c r="G414" s="50" t="s">
        <v>21</v>
      </c>
      <c r="H414" s="34">
        <v>2</v>
      </c>
      <c r="I414" s="50" t="s">
        <v>281</v>
      </c>
      <c r="J414" s="24">
        <v>68</v>
      </c>
      <c r="K414" s="32">
        <f>VLOOKUP(E414,照明設備稼働時間!$A$4:$E$31,5,FALSE)</f>
        <v>2299</v>
      </c>
      <c r="L414" s="32" t="str">
        <f t="shared" si="12"/>
        <v>FHF32W2システム天井</v>
      </c>
      <c r="M414" s="14">
        <f>VLOOKUP(L414,照明器具一覧!$B$4:$F$129,5,FALSE)</f>
        <v>72</v>
      </c>
      <c r="N414" s="14">
        <v>1</v>
      </c>
      <c r="O414" s="142">
        <f t="shared" si="13"/>
        <v>11255.904</v>
      </c>
    </row>
    <row r="415" spans="1:15">
      <c r="A415" s="2" t="s">
        <v>1036</v>
      </c>
      <c r="B415" s="78" t="s">
        <v>1499</v>
      </c>
      <c r="C415" s="48" t="s">
        <v>287</v>
      </c>
      <c r="D415" s="2" t="s">
        <v>260</v>
      </c>
      <c r="E415" s="2" t="s">
        <v>600</v>
      </c>
      <c r="F415" s="49" t="s">
        <v>271</v>
      </c>
      <c r="G415" s="50" t="s">
        <v>21</v>
      </c>
      <c r="H415" s="34">
        <v>2</v>
      </c>
      <c r="I415" s="50" t="s">
        <v>281</v>
      </c>
      <c r="J415" s="24">
        <v>16</v>
      </c>
      <c r="K415" s="32">
        <f>VLOOKUP(E415,照明設備稼働時間!$A$4:$E$31,5,FALSE)</f>
        <v>2299</v>
      </c>
      <c r="L415" s="32" t="str">
        <f t="shared" si="12"/>
        <v>FHF32W2システム天井</v>
      </c>
      <c r="M415" s="14">
        <f>VLOOKUP(L415,照明器具一覧!$B$4:$F$129,5,FALSE)</f>
        <v>72</v>
      </c>
      <c r="N415" s="14">
        <v>1</v>
      </c>
      <c r="O415" s="142">
        <f t="shared" si="13"/>
        <v>2648.4479999999999</v>
      </c>
    </row>
    <row r="416" spans="1:15">
      <c r="A416" s="2" t="s">
        <v>1037</v>
      </c>
      <c r="B416" s="78" t="s">
        <v>1499</v>
      </c>
      <c r="C416" s="48" t="s">
        <v>294</v>
      </c>
      <c r="D416" s="2" t="s">
        <v>260</v>
      </c>
      <c r="E416" s="2" t="s">
        <v>606</v>
      </c>
      <c r="F416" s="49" t="s">
        <v>272</v>
      </c>
      <c r="G416" s="50" t="s">
        <v>21</v>
      </c>
      <c r="H416" s="34">
        <v>1</v>
      </c>
      <c r="I416" s="29" t="s">
        <v>251</v>
      </c>
      <c r="J416" s="24">
        <v>8</v>
      </c>
      <c r="K416" s="32">
        <f>VLOOKUP(E416,照明設備稼働時間!$A$4:$E$31,5,FALSE)</f>
        <v>242</v>
      </c>
      <c r="L416" s="32" t="str">
        <f t="shared" si="12"/>
        <v>FHF32W1笠付</v>
      </c>
      <c r="M416" s="14">
        <f>VLOOKUP(L416,照明器具一覧!$B$4:$F$129,5,FALSE)</f>
        <v>36</v>
      </c>
      <c r="N416" s="14">
        <v>1</v>
      </c>
      <c r="O416" s="142">
        <f t="shared" si="13"/>
        <v>69.695999999999998</v>
      </c>
    </row>
    <row r="417" spans="1:15">
      <c r="A417" s="2" t="s">
        <v>1038</v>
      </c>
      <c r="B417" s="78" t="s">
        <v>1499</v>
      </c>
      <c r="C417" s="48" t="s">
        <v>282</v>
      </c>
      <c r="D417" s="2" t="s">
        <v>260</v>
      </c>
      <c r="E417" s="2" t="s">
        <v>603</v>
      </c>
      <c r="F417" s="49" t="s">
        <v>310</v>
      </c>
      <c r="G417" s="50" t="s">
        <v>21</v>
      </c>
      <c r="H417" s="34">
        <v>1</v>
      </c>
      <c r="I417" s="29" t="s">
        <v>301</v>
      </c>
      <c r="J417" s="24">
        <v>1</v>
      </c>
      <c r="K417" s="32">
        <f>VLOOKUP(E417,照明設備稼働時間!$A$4:$E$31,5,FALSE)</f>
        <v>968</v>
      </c>
      <c r="L417" s="32" t="str">
        <f t="shared" si="12"/>
        <v>FHF32W1逆富士</v>
      </c>
      <c r="M417" s="14">
        <f>VLOOKUP(L417,照明器具一覧!$B$4:$F$129,5,FALSE)</f>
        <v>36</v>
      </c>
      <c r="N417" s="14">
        <v>1</v>
      </c>
      <c r="O417" s="142">
        <f t="shared" si="13"/>
        <v>34.847999999999999</v>
      </c>
    </row>
    <row r="418" spans="1:15">
      <c r="A418" s="2" t="s">
        <v>1039</v>
      </c>
      <c r="B418" s="78" t="s">
        <v>1499</v>
      </c>
      <c r="C418" s="48"/>
      <c r="D418" s="2" t="s">
        <v>260</v>
      </c>
      <c r="E418" s="2" t="s">
        <v>603</v>
      </c>
      <c r="F418" s="49" t="s">
        <v>310</v>
      </c>
      <c r="G418" s="50" t="s">
        <v>31</v>
      </c>
      <c r="H418" s="34">
        <v>1</v>
      </c>
      <c r="I418" s="29" t="s">
        <v>316</v>
      </c>
      <c r="J418" s="24">
        <v>3</v>
      </c>
      <c r="K418" s="32">
        <f>VLOOKUP(E418,照明設備稼働時間!$A$4:$E$31,5,FALSE)</f>
        <v>968</v>
      </c>
      <c r="L418" s="32" t="str">
        <f t="shared" si="12"/>
        <v>LED電球1レセップ</v>
      </c>
      <c r="M418" s="14">
        <f>VLOOKUP(L418,照明器具一覧!$B$4:$F$129,5,FALSE)</f>
        <v>4.5999999999999996</v>
      </c>
      <c r="N418" s="14">
        <v>0.66</v>
      </c>
      <c r="O418" s="142">
        <f t="shared" si="13"/>
        <v>8.8165440000000004</v>
      </c>
    </row>
    <row r="419" spans="1:15">
      <c r="A419" s="2" t="s">
        <v>1040</v>
      </c>
      <c r="B419" s="78" t="s">
        <v>1499</v>
      </c>
      <c r="C419" s="48" t="s">
        <v>282</v>
      </c>
      <c r="D419" s="2" t="s">
        <v>260</v>
      </c>
      <c r="E419" s="2" t="s">
        <v>603</v>
      </c>
      <c r="F419" s="49" t="s">
        <v>311</v>
      </c>
      <c r="G419" s="50" t="s">
        <v>21</v>
      </c>
      <c r="H419" s="34">
        <v>1</v>
      </c>
      <c r="I419" s="29" t="s">
        <v>301</v>
      </c>
      <c r="J419" s="24">
        <v>1</v>
      </c>
      <c r="K419" s="32">
        <f>VLOOKUP(E419,照明設備稼働時間!$A$4:$E$31,5,FALSE)</f>
        <v>968</v>
      </c>
      <c r="L419" s="32" t="str">
        <f t="shared" si="12"/>
        <v>FHF32W1逆富士</v>
      </c>
      <c r="M419" s="14">
        <f>VLOOKUP(L419,照明器具一覧!$B$4:$F$129,5,FALSE)</f>
        <v>36</v>
      </c>
      <c r="N419" s="14">
        <v>1</v>
      </c>
      <c r="O419" s="142">
        <f t="shared" si="13"/>
        <v>34.847999999999999</v>
      </c>
    </row>
    <row r="420" spans="1:15">
      <c r="A420" s="2" t="s">
        <v>1041</v>
      </c>
      <c r="B420" s="78" t="s">
        <v>1499</v>
      </c>
      <c r="C420" s="48"/>
      <c r="D420" s="2" t="s">
        <v>260</v>
      </c>
      <c r="E420" s="2" t="s">
        <v>603</v>
      </c>
      <c r="F420" s="49" t="s">
        <v>311</v>
      </c>
      <c r="G420" s="50" t="s">
        <v>31</v>
      </c>
      <c r="H420" s="34">
        <v>1</v>
      </c>
      <c r="I420" s="29" t="s">
        <v>316</v>
      </c>
      <c r="J420" s="24">
        <v>2</v>
      </c>
      <c r="K420" s="32">
        <f>VLOOKUP(E420,照明設備稼働時間!$A$4:$E$31,5,FALSE)</f>
        <v>968</v>
      </c>
      <c r="L420" s="32" t="str">
        <f t="shared" si="12"/>
        <v>LED電球1レセップ</v>
      </c>
      <c r="M420" s="14">
        <f>VLOOKUP(L420,照明器具一覧!$B$4:$F$129,5,FALSE)</f>
        <v>4.5999999999999996</v>
      </c>
      <c r="N420" s="14">
        <v>0.5</v>
      </c>
      <c r="O420" s="142">
        <f t="shared" si="13"/>
        <v>4.452799999999999</v>
      </c>
    </row>
    <row r="421" spans="1:15">
      <c r="A421" s="2" t="s">
        <v>1042</v>
      </c>
      <c r="B421" s="78" t="s">
        <v>1499</v>
      </c>
      <c r="C421" s="48" t="s">
        <v>283</v>
      </c>
      <c r="D421" s="2" t="s">
        <v>260</v>
      </c>
      <c r="E421" s="2" t="s">
        <v>601</v>
      </c>
      <c r="F421" s="49" t="s">
        <v>273</v>
      </c>
      <c r="G421" s="50" t="s">
        <v>21</v>
      </c>
      <c r="H421" s="34">
        <v>1</v>
      </c>
      <c r="I421" s="29" t="s">
        <v>302</v>
      </c>
      <c r="J421" s="24">
        <v>3</v>
      </c>
      <c r="K421" s="32">
        <f>VLOOKUP(E421,照明設備稼働時間!$A$4:$E$31,5,FALSE)</f>
        <v>2299</v>
      </c>
      <c r="L421" s="32" t="str">
        <f t="shared" si="12"/>
        <v>FHF32W1埋込W190</v>
      </c>
      <c r="M421" s="14">
        <f>VLOOKUP(L421,照明器具一覧!$B$4:$F$129,5,FALSE)</f>
        <v>36</v>
      </c>
      <c r="N421" s="14">
        <v>0.33</v>
      </c>
      <c r="O421" s="142">
        <f t="shared" si="13"/>
        <v>81.936360000000008</v>
      </c>
    </row>
    <row r="422" spans="1:15">
      <c r="A422" s="2" t="s">
        <v>1043</v>
      </c>
      <c r="B422" s="78" t="s">
        <v>1499</v>
      </c>
      <c r="C422" s="48" t="s">
        <v>285</v>
      </c>
      <c r="D422" s="2" t="s">
        <v>260</v>
      </c>
      <c r="E422" s="2" t="s">
        <v>601</v>
      </c>
      <c r="F422" s="49" t="s">
        <v>274</v>
      </c>
      <c r="G422" s="50" t="s">
        <v>21</v>
      </c>
      <c r="H422" s="34">
        <v>1</v>
      </c>
      <c r="I422" s="29" t="s">
        <v>551</v>
      </c>
      <c r="J422" s="24">
        <v>1</v>
      </c>
      <c r="K422" s="32">
        <f>VLOOKUP(E422,照明設備稼働時間!$A$4:$E$31,5,FALSE)</f>
        <v>2299</v>
      </c>
      <c r="L422" s="32" t="str">
        <f t="shared" si="12"/>
        <v>FHF32W1階段灯　非常灯付</v>
      </c>
      <c r="M422" s="14">
        <f>VLOOKUP(L422,照明器具一覧!$B$4:$F$129,5,FALSE)</f>
        <v>36</v>
      </c>
      <c r="N422" s="14">
        <v>1</v>
      </c>
      <c r="O422" s="142">
        <f t="shared" si="13"/>
        <v>82.763999999999996</v>
      </c>
    </row>
    <row r="423" spans="1:15">
      <c r="A423" s="2" t="s">
        <v>1044</v>
      </c>
      <c r="B423" s="78" t="s">
        <v>1499</v>
      </c>
      <c r="C423" s="48" t="s">
        <v>286</v>
      </c>
      <c r="D423" s="2" t="s">
        <v>260</v>
      </c>
      <c r="E423" s="2" t="s">
        <v>601</v>
      </c>
      <c r="F423" s="49" t="s">
        <v>274</v>
      </c>
      <c r="G423" s="50" t="s">
        <v>21</v>
      </c>
      <c r="H423" s="34">
        <v>1</v>
      </c>
      <c r="I423" s="29" t="s">
        <v>551</v>
      </c>
      <c r="J423" s="24">
        <v>1</v>
      </c>
      <c r="K423" s="32">
        <f>VLOOKUP(E423,照明設備稼働時間!$A$4:$E$31,5,FALSE)</f>
        <v>2299</v>
      </c>
      <c r="L423" s="32" t="str">
        <f t="shared" si="12"/>
        <v>FHF32W1階段灯　非常灯付</v>
      </c>
      <c r="M423" s="14">
        <f>VLOOKUP(L423,照明器具一覧!$B$4:$F$129,5,FALSE)</f>
        <v>36</v>
      </c>
      <c r="N423" s="14">
        <v>1</v>
      </c>
      <c r="O423" s="142">
        <f t="shared" si="13"/>
        <v>82.763999999999996</v>
      </c>
    </row>
    <row r="424" spans="1:15">
      <c r="A424" s="2" t="s">
        <v>1045</v>
      </c>
      <c r="B424" s="78" t="s">
        <v>1499</v>
      </c>
      <c r="C424" s="48" t="s">
        <v>282</v>
      </c>
      <c r="D424" s="2" t="s">
        <v>260</v>
      </c>
      <c r="E424" s="29" t="s">
        <v>1513</v>
      </c>
      <c r="F424" s="49" t="s">
        <v>312</v>
      </c>
      <c r="G424" s="50" t="s">
        <v>21</v>
      </c>
      <c r="H424" s="34">
        <v>1</v>
      </c>
      <c r="I424" s="29" t="s">
        <v>301</v>
      </c>
      <c r="J424" s="24">
        <v>1</v>
      </c>
      <c r="K424" s="32">
        <f>VLOOKUP(E424,照明設備稼働時間!$A$4:$E$31,5,FALSE)</f>
        <v>484</v>
      </c>
      <c r="L424" s="32" t="str">
        <f t="shared" si="12"/>
        <v>FHF32W1逆富士</v>
      </c>
      <c r="M424" s="14">
        <f>VLOOKUP(L424,照明器具一覧!$B$4:$F$129,5,FALSE)</f>
        <v>36</v>
      </c>
      <c r="N424" s="14">
        <v>1</v>
      </c>
      <c r="O424" s="142">
        <f t="shared" si="13"/>
        <v>17.423999999999999</v>
      </c>
    </row>
    <row r="425" spans="1:15">
      <c r="A425" s="2" t="s">
        <v>1046</v>
      </c>
      <c r="B425" s="78" t="s">
        <v>1499</v>
      </c>
      <c r="C425" s="48" t="s">
        <v>282</v>
      </c>
      <c r="D425" s="2" t="s">
        <v>260</v>
      </c>
      <c r="E425" s="2" t="s">
        <v>44</v>
      </c>
      <c r="F425" s="49" t="s">
        <v>313</v>
      </c>
      <c r="G425" s="50" t="s">
        <v>21</v>
      </c>
      <c r="H425" s="34">
        <v>1</v>
      </c>
      <c r="I425" s="29" t="s">
        <v>301</v>
      </c>
      <c r="J425" s="24">
        <v>1</v>
      </c>
      <c r="K425" s="32">
        <f>VLOOKUP(E425,照明設備稼働時間!$A$4:$E$31,5,FALSE)</f>
        <v>242</v>
      </c>
      <c r="L425" s="32" t="str">
        <f t="shared" si="12"/>
        <v>FHF32W1逆富士</v>
      </c>
      <c r="M425" s="14">
        <f>VLOOKUP(L425,照明器具一覧!$B$4:$F$129,5,FALSE)</f>
        <v>36</v>
      </c>
      <c r="N425" s="14">
        <v>1</v>
      </c>
      <c r="O425" s="142">
        <f t="shared" si="13"/>
        <v>8.7119999999999997</v>
      </c>
    </row>
    <row r="426" spans="1:15">
      <c r="A426" s="2" t="s">
        <v>1047</v>
      </c>
      <c r="B426" s="78" t="s">
        <v>1499</v>
      </c>
      <c r="C426" s="48" t="s">
        <v>284</v>
      </c>
      <c r="D426" s="2" t="s">
        <v>260</v>
      </c>
      <c r="E426" s="2" t="s">
        <v>1507</v>
      </c>
      <c r="F426" s="49" t="s">
        <v>61</v>
      </c>
      <c r="G426" s="50" t="s">
        <v>19</v>
      </c>
      <c r="H426" s="34">
        <v>1</v>
      </c>
      <c r="I426" s="29" t="s">
        <v>303</v>
      </c>
      <c r="J426" s="24">
        <v>1</v>
      </c>
      <c r="K426" s="32">
        <f>VLOOKUP(E426,照明設備稼働時間!$A$4:$E$31,5,FALSE)</f>
        <v>0</v>
      </c>
      <c r="L426" s="32" t="str">
        <f t="shared" si="12"/>
        <v>FHF16W1片反射笠付（高出力）</v>
      </c>
      <c r="M426" s="14">
        <f>VLOOKUP(L426,照明器具一覧!$B$4:$F$129,5,FALSE)</f>
        <v>26</v>
      </c>
      <c r="N426" s="14">
        <v>1</v>
      </c>
      <c r="O426" s="142">
        <f t="shared" si="13"/>
        <v>0</v>
      </c>
    </row>
    <row r="427" spans="1:15">
      <c r="A427" s="2" t="s">
        <v>1048</v>
      </c>
      <c r="B427" s="78" t="s">
        <v>1499</v>
      </c>
      <c r="C427" s="48" t="s">
        <v>287</v>
      </c>
      <c r="D427" s="2" t="s">
        <v>260</v>
      </c>
      <c r="E427" s="2" t="s">
        <v>600</v>
      </c>
      <c r="F427" s="49" t="s">
        <v>275</v>
      </c>
      <c r="G427" s="50" t="s">
        <v>21</v>
      </c>
      <c r="H427" s="34">
        <v>2</v>
      </c>
      <c r="I427" s="29" t="s">
        <v>305</v>
      </c>
      <c r="J427" s="24">
        <v>48</v>
      </c>
      <c r="K427" s="32">
        <f>VLOOKUP(E427,照明設備稼働時間!$A$4:$E$31,5,FALSE)</f>
        <v>2299</v>
      </c>
      <c r="L427" s="32" t="str">
        <f t="shared" si="12"/>
        <v>FHF32W2システム天井</v>
      </c>
      <c r="M427" s="14">
        <f>VLOOKUP(L427,照明器具一覧!$B$4:$F$129,5,FALSE)</f>
        <v>72</v>
      </c>
      <c r="N427" s="14">
        <v>1</v>
      </c>
      <c r="O427" s="142">
        <f t="shared" si="13"/>
        <v>7945.3440000000001</v>
      </c>
    </row>
    <row r="428" spans="1:15">
      <c r="A428" s="2" t="s">
        <v>1049</v>
      </c>
      <c r="B428" s="78" t="s">
        <v>1499</v>
      </c>
      <c r="C428" s="48" t="s">
        <v>282</v>
      </c>
      <c r="D428" s="2" t="s">
        <v>260</v>
      </c>
      <c r="E428" s="2" t="s">
        <v>606</v>
      </c>
      <c r="F428" s="49" t="s">
        <v>276</v>
      </c>
      <c r="G428" s="50" t="s">
        <v>21</v>
      </c>
      <c r="H428" s="34">
        <v>1</v>
      </c>
      <c r="I428" s="29" t="s">
        <v>301</v>
      </c>
      <c r="J428" s="24">
        <v>4</v>
      </c>
      <c r="K428" s="32">
        <f>VLOOKUP(E428,照明設備稼働時間!$A$4:$E$31,5,FALSE)</f>
        <v>242</v>
      </c>
      <c r="L428" s="32" t="str">
        <f t="shared" si="12"/>
        <v>FHF32W1逆富士</v>
      </c>
      <c r="M428" s="14">
        <f>VLOOKUP(L428,照明器具一覧!$B$4:$F$129,5,FALSE)</f>
        <v>36</v>
      </c>
      <c r="N428" s="14">
        <v>1</v>
      </c>
      <c r="O428" s="142">
        <f t="shared" si="13"/>
        <v>34.847999999999999</v>
      </c>
    </row>
    <row r="429" spans="1:15">
      <c r="A429" s="2" t="s">
        <v>1050</v>
      </c>
      <c r="B429" s="78" t="s">
        <v>1499</v>
      </c>
      <c r="C429" s="48" t="s">
        <v>295</v>
      </c>
      <c r="D429" s="2" t="s">
        <v>260</v>
      </c>
      <c r="E429" s="2" t="s">
        <v>606</v>
      </c>
      <c r="F429" s="49" t="s">
        <v>277</v>
      </c>
      <c r="G429" s="50" t="s">
        <v>21</v>
      </c>
      <c r="H429" s="34">
        <v>2</v>
      </c>
      <c r="I429" s="29" t="s">
        <v>308</v>
      </c>
      <c r="J429" s="24">
        <v>3</v>
      </c>
      <c r="K429" s="32">
        <f>VLOOKUP(E429,照明設備稼働時間!$A$4:$E$31,5,FALSE)</f>
        <v>242</v>
      </c>
      <c r="L429" s="32" t="str">
        <f t="shared" si="12"/>
        <v>FHF32W2埋込W300</v>
      </c>
      <c r="M429" s="14">
        <f>VLOOKUP(L429,照明器具一覧!$B$4:$F$129,5,FALSE)</f>
        <v>71</v>
      </c>
      <c r="N429" s="14">
        <v>1</v>
      </c>
      <c r="O429" s="142">
        <f t="shared" si="13"/>
        <v>51.545999999999999</v>
      </c>
    </row>
    <row r="430" spans="1:15">
      <c r="A430" s="2" t="s">
        <v>1051</v>
      </c>
      <c r="B430" s="78" t="s">
        <v>1499</v>
      </c>
      <c r="C430" s="48" t="s">
        <v>294</v>
      </c>
      <c r="D430" s="2" t="s">
        <v>260</v>
      </c>
      <c r="E430" s="2" t="s">
        <v>606</v>
      </c>
      <c r="F430" s="49" t="s">
        <v>314</v>
      </c>
      <c r="G430" s="50" t="s">
        <v>21</v>
      </c>
      <c r="H430" s="34">
        <v>1</v>
      </c>
      <c r="I430" s="29" t="s">
        <v>251</v>
      </c>
      <c r="J430" s="24">
        <v>2</v>
      </c>
      <c r="K430" s="32">
        <f>VLOOKUP(E430,照明設備稼働時間!$A$4:$E$31,5,FALSE)</f>
        <v>242</v>
      </c>
      <c r="L430" s="32" t="str">
        <f t="shared" si="12"/>
        <v>FHF32W1笠付</v>
      </c>
      <c r="M430" s="14">
        <f>VLOOKUP(L430,照明器具一覧!$B$4:$F$129,5,FALSE)</f>
        <v>36</v>
      </c>
      <c r="N430" s="14">
        <v>1</v>
      </c>
      <c r="O430" s="142">
        <f t="shared" si="13"/>
        <v>17.423999999999999</v>
      </c>
    </row>
    <row r="431" spans="1:15">
      <c r="A431" s="2" t="s">
        <v>1052</v>
      </c>
      <c r="B431" s="78" t="s">
        <v>1499</v>
      </c>
      <c r="C431" s="48" t="s">
        <v>291</v>
      </c>
      <c r="D431" s="2" t="s">
        <v>260</v>
      </c>
      <c r="E431" s="2" t="s">
        <v>1507</v>
      </c>
      <c r="F431" s="49" t="s">
        <v>64</v>
      </c>
      <c r="G431" s="50" t="s">
        <v>21</v>
      </c>
      <c r="H431" s="34">
        <v>1</v>
      </c>
      <c r="I431" s="29" t="s">
        <v>253</v>
      </c>
      <c r="J431" s="24">
        <v>1</v>
      </c>
      <c r="K431" s="32">
        <f>VLOOKUP(E431,照明設備稼働時間!$A$4:$E$31,5,FALSE)</f>
        <v>0</v>
      </c>
      <c r="L431" s="32" t="str">
        <f t="shared" si="12"/>
        <v>FHF32W1片反射笠付</v>
      </c>
      <c r="M431" s="14">
        <f>VLOOKUP(L431,照明器具一覧!$B$4:$F$129,5,FALSE)</f>
        <v>36</v>
      </c>
      <c r="N431" s="14">
        <v>1</v>
      </c>
      <c r="O431" s="142">
        <f t="shared" si="13"/>
        <v>0</v>
      </c>
    </row>
    <row r="432" spans="1:15">
      <c r="A432" s="2" t="s">
        <v>1053</v>
      </c>
      <c r="B432" s="78" t="s">
        <v>1499</v>
      </c>
      <c r="C432" s="48" t="s">
        <v>292</v>
      </c>
      <c r="D432" s="2" t="s">
        <v>260</v>
      </c>
      <c r="E432" s="2" t="s">
        <v>601</v>
      </c>
      <c r="F432" s="49" t="s">
        <v>278</v>
      </c>
      <c r="G432" s="50" t="s">
        <v>19</v>
      </c>
      <c r="H432" s="34">
        <v>1</v>
      </c>
      <c r="I432" s="29" t="s">
        <v>307</v>
      </c>
      <c r="J432" s="24">
        <v>1</v>
      </c>
      <c r="K432" s="32">
        <f>VLOOKUP(E432,照明設備稼働時間!$A$4:$E$31,5,FALSE)</f>
        <v>2299</v>
      </c>
      <c r="L432" s="32" t="str">
        <f t="shared" si="12"/>
        <v>FHF16W1埋込W　高出力</v>
      </c>
      <c r="M432" s="14">
        <f>VLOOKUP(L432,照明器具一覧!$B$4:$F$129,5,FALSE)</f>
        <v>26</v>
      </c>
      <c r="N432" s="14">
        <v>0.33</v>
      </c>
      <c r="O432" s="142">
        <f t="shared" si="13"/>
        <v>19.725420000000003</v>
      </c>
    </row>
    <row r="433" spans="1:15">
      <c r="A433" s="2" t="s">
        <v>1054</v>
      </c>
      <c r="B433" s="78" t="s">
        <v>1499</v>
      </c>
      <c r="C433" s="48" t="s">
        <v>283</v>
      </c>
      <c r="D433" s="2" t="s">
        <v>260</v>
      </c>
      <c r="E433" s="2" t="s">
        <v>1508</v>
      </c>
      <c r="F433" s="49" t="s">
        <v>65</v>
      </c>
      <c r="G433" s="50" t="s">
        <v>21</v>
      </c>
      <c r="H433" s="34">
        <v>1</v>
      </c>
      <c r="I433" s="29" t="s">
        <v>302</v>
      </c>
      <c r="J433" s="24">
        <v>2</v>
      </c>
      <c r="K433" s="32">
        <f>VLOOKUP(E433,照明設備稼働時間!$A$4:$E$31,5,FALSE)</f>
        <v>8760</v>
      </c>
      <c r="L433" s="32" t="str">
        <f t="shared" si="12"/>
        <v>FHF32W1埋込W190</v>
      </c>
      <c r="M433" s="14">
        <f>VLOOKUP(L433,照明器具一覧!$B$4:$F$129,5,FALSE)</f>
        <v>36</v>
      </c>
      <c r="N433" s="14">
        <v>1</v>
      </c>
      <c r="O433" s="142">
        <f t="shared" si="13"/>
        <v>630.72</v>
      </c>
    </row>
    <row r="434" spans="1:15">
      <c r="A434" s="2" t="s">
        <v>1055</v>
      </c>
      <c r="B434" s="78" t="s">
        <v>1499</v>
      </c>
      <c r="C434" s="48"/>
      <c r="D434" s="2" t="s">
        <v>260</v>
      </c>
      <c r="E434" s="2" t="s">
        <v>1508</v>
      </c>
      <c r="F434" s="49" t="s">
        <v>65</v>
      </c>
      <c r="G434" s="50" t="s">
        <v>72</v>
      </c>
      <c r="H434" s="34">
        <v>1</v>
      </c>
      <c r="I434" s="29" t="s">
        <v>73</v>
      </c>
      <c r="J434" s="24">
        <v>1</v>
      </c>
      <c r="K434" s="32">
        <f>VLOOKUP(E434,照明設備稼働時間!$A$4:$E$31,5,FALSE)</f>
        <v>8760</v>
      </c>
      <c r="L434" s="32" t="str">
        <f t="shared" si="12"/>
        <v>IL60W1ダウンライト</v>
      </c>
      <c r="M434" s="14">
        <f>VLOOKUP(L434,照明器具一覧!$B$4:$F$129,5,FALSE)</f>
        <v>60</v>
      </c>
      <c r="N434" s="14">
        <v>1</v>
      </c>
      <c r="O434" s="142">
        <f t="shared" si="13"/>
        <v>525.6</v>
      </c>
    </row>
    <row r="435" spans="1:15">
      <c r="A435" s="2" t="s">
        <v>1056</v>
      </c>
      <c r="B435" s="78" t="s">
        <v>1499</v>
      </c>
      <c r="C435" s="48" t="s">
        <v>285</v>
      </c>
      <c r="D435" s="2" t="s">
        <v>260</v>
      </c>
      <c r="E435" s="2" t="s">
        <v>601</v>
      </c>
      <c r="F435" s="49" t="s">
        <v>279</v>
      </c>
      <c r="G435" s="50" t="s">
        <v>21</v>
      </c>
      <c r="H435" s="34">
        <v>1</v>
      </c>
      <c r="I435" s="50" t="s">
        <v>551</v>
      </c>
      <c r="J435" s="24">
        <v>1</v>
      </c>
      <c r="K435" s="32">
        <f>VLOOKUP(E435,照明設備稼働時間!$A$4:$E$31,5,FALSE)</f>
        <v>2299</v>
      </c>
      <c r="L435" s="32" t="str">
        <f t="shared" si="12"/>
        <v>FHF32W1階段灯　非常灯付</v>
      </c>
      <c r="M435" s="14">
        <f>VLOOKUP(L435,照明器具一覧!$B$4:$F$129,5,FALSE)</f>
        <v>36</v>
      </c>
      <c r="N435" s="14">
        <v>1</v>
      </c>
      <c r="O435" s="142">
        <f t="shared" si="13"/>
        <v>82.763999999999996</v>
      </c>
    </row>
    <row r="436" spans="1:15">
      <c r="A436" s="2" t="s">
        <v>1057</v>
      </c>
      <c r="B436" s="78" t="s">
        <v>1499</v>
      </c>
      <c r="C436" s="48" t="s">
        <v>286</v>
      </c>
      <c r="D436" s="2" t="s">
        <v>260</v>
      </c>
      <c r="E436" s="2" t="s">
        <v>601</v>
      </c>
      <c r="F436" s="49" t="s">
        <v>279</v>
      </c>
      <c r="G436" s="50" t="s">
        <v>21</v>
      </c>
      <c r="H436" s="34">
        <v>1</v>
      </c>
      <c r="I436" s="50" t="s">
        <v>551</v>
      </c>
      <c r="J436" s="24">
        <v>1</v>
      </c>
      <c r="K436" s="32">
        <f>VLOOKUP(E436,照明設備稼働時間!$A$4:$E$31,5,FALSE)</f>
        <v>2299</v>
      </c>
      <c r="L436" s="32" t="str">
        <f t="shared" si="12"/>
        <v>FHF32W1階段灯　非常灯付</v>
      </c>
      <c r="M436" s="14">
        <f>VLOOKUP(L436,照明器具一覧!$B$4:$F$129,5,FALSE)</f>
        <v>36</v>
      </c>
      <c r="N436" s="14">
        <v>1</v>
      </c>
      <c r="O436" s="142">
        <f t="shared" si="13"/>
        <v>82.763999999999996</v>
      </c>
    </row>
    <row r="437" spans="1:15">
      <c r="A437" s="2" t="s">
        <v>1058</v>
      </c>
      <c r="B437" s="78" t="s">
        <v>1499</v>
      </c>
      <c r="C437" s="48" t="s">
        <v>296</v>
      </c>
      <c r="D437" s="2" t="s">
        <v>260</v>
      </c>
      <c r="E437" s="2" t="s">
        <v>381</v>
      </c>
      <c r="F437" s="49" t="s">
        <v>280</v>
      </c>
      <c r="G437" s="50" t="s">
        <v>317</v>
      </c>
      <c r="H437" s="34">
        <v>1</v>
      </c>
      <c r="I437" s="29" t="s">
        <v>73</v>
      </c>
      <c r="J437" s="24">
        <v>79</v>
      </c>
      <c r="K437" s="32">
        <f>VLOOKUP(E437,照明設備稼働時間!$A$4:$E$31,5,FALSE)</f>
        <v>2299</v>
      </c>
      <c r="L437" s="32" t="str">
        <f t="shared" si="12"/>
        <v>MH300W1ダウンライト</v>
      </c>
      <c r="M437" s="14">
        <f>VLOOKUP(L437,照明器具一覧!$B$4:$F$129,5,FALSE)</f>
        <v>330</v>
      </c>
      <c r="N437" s="14">
        <v>0.46</v>
      </c>
      <c r="O437" s="142">
        <f t="shared" si="13"/>
        <v>27570.067800000001</v>
      </c>
    </row>
    <row r="438" spans="1:15">
      <c r="A438" s="2" t="s">
        <v>1059</v>
      </c>
      <c r="B438" s="78" t="s">
        <v>1499</v>
      </c>
      <c r="C438" s="48" t="s">
        <v>287</v>
      </c>
      <c r="D438" s="2" t="s">
        <v>260</v>
      </c>
      <c r="E438" s="2" t="s">
        <v>600</v>
      </c>
      <c r="F438" s="49" t="s">
        <v>275</v>
      </c>
      <c r="G438" s="50" t="s">
        <v>21</v>
      </c>
      <c r="H438" s="34">
        <v>2</v>
      </c>
      <c r="I438" s="50" t="s">
        <v>281</v>
      </c>
      <c r="J438" s="24">
        <v>120</v>
      </c>
      <c r="K438" s="32">
        <f>VLOOKUP(E438,照明設備稼働時間!$A$4:$E$31,5,FALSE)</f>
        <v>2299</v>
      </c>
      <c r="L438" s="32" t="str">
        <f t="shared" si="12"/>
        <v>FHF32W2システム天井</v>
      </c>
      <c r="M438" s="14">
        <f>VLOOKUP(L438,照明器具一覧!$B$4:$F$129,5,FALSE)</f>
        <v>72</v>
      </c>
      <c r="N438" s="14">
        <v>1</v>
      </c>
      <c r="O438" s="142">
        <f t="shared" si="13"/>
        <v>19863.36</v>
      </c>
    </row>
    <row r="439" spans="1:15">
      <c r="A439" s="2" t="s">
        <v>1060</v>
      </c>
      <c r="B439" s="78" t="s">
        <v>1499</v>
      </c>
      <c r="C439" s="29" t="s">
        <v>67</v>
      </c>
      <c r="D439" s="2" t="s">
        <v>260</v>
      </c>
      <c r="E439" s="2" t="s">
        <v>77</v>
      </c>
      <c r="F439" s="29" t="s">
        <v>57</v>
      </c>
      <c r="G439" s="29" t="s">
        <v>97</v>
      </c>
      <c r="H439" s="34">
        <v>1</v>
      </c>
      <c r="I439" s="29" t="s">
        <v>594</v>
      </c>
      <c r="J439" s="29">
        <v>1</v>
      </c>
      <c r="K439" s="32">
        <f>VLOOKUP(E439,照明設備稼働時間!$A$4:$E$31,5,FALSE)</f>
        <v>8760</v>
      </c>
      <c r="L439" s="32" t="str">
        <f t="shared" si="12"/>
        <v>CF2.2W1誘導灯C級片面</v>
      </c>
      <c r="M439" s="14">
        <f>VLOOKUP(L439,照明器具一覧!$B$4:$F$129,5,FALSE)</f>
        <v>4</v>
      </c>
      <c r="N439" s="14">
        <v>1</v>
      </c>
      <c r="O439" s="142">
        <f t="shared" si="13"/>
        <v>35.04</v>
      </c>
    </row>
    <row r="440" spans="1:15">
      <c r="A440" s="2" t="s">
        <v>1061</v>
      </c>
      <c r="B440" s="78" t="s">
        <v>1499</v>
      </c>
      <c r="C440" s="29" t="s">
        <v>69</v>
      </c>
      <c r="D440" s="2" t="s">
        <v>260</v>
      </c>
      <c r="E440" s="2" t="s">
        <v>77</v>
      </c>
      <c r="F440" s="29" t="s">
        <v>39</v>
      </c>
      <c r="G440" s="29" t="s">
        <v>97</v>
      </c>
      <c r="H440" s="34">
        <v>1</v>
      </c>
      <c r="I440" s="29" t="s">
        <v>594</v>
      </c>
      <c r="J440" s="29">
        <v>1</v>
      </c>
      <c r="K440" s="32">
        <f>VLOOKUP(E440,照明設備稼働時間!$A$4:$E$31,5,FALSE)</f>
        <v>8760</v>
      </c>
      <c r="L440" s="32" t="str">
        <f t="shared" si="12"/>
        <v>CF2.2W1誘導灯C級片面</v>
      </c>
      <c r="M440" s="14">
        <f>VLOOKUP(L440,照明器具一覧!$B$4:$F$129,5,FALSE)</f>
        <v>4</v>
      </c>
      <c r="N440" s="14">
        <v>1</v>
      </c>
      <c r="O440" s="142">
        <f t="shared" si="13"/>
        <v>35.04</v>
      </c>
    </row>
    <row r="441" spans="1:15">
      <c r="A441" s="2" t="s">
        <v>1062</v>
      </c>
      <c r="B441" s="78" t="s">
        <v>1499</v>
      </c>
      <c r="C441" s="29" t="s">
        <v>67</v>
      </c>
      <c r="D441" s="2" t="s">
        <v>260</v>
      </c>
      <c r="E441" s="2" t="s">
        <v>77</v>
      </c>
      <c r="F441" s="29" t="s">
        <v>45</v>
      </c>
      <c r="G441" s="29" t="s">
        <v>97</v>
      </c>
      <c r="H441" s="34">
        <v>1</v>
      </c>
      <c r="I441" s="29" t="s">
        <v>594</v>
      </c>
      <c r="J441" s="29">
        <v>1</v>
      </c>
      <c r="K441" s="32">
        <f>VLOOKUP(E441,照明設備稼働時間!$A$4:$E$31,5,FALSE)</f>
        <v>8760</v>
      </c>
      <c r="L441" s="32" t="str">
        <f t="shared" si="12"/>
        <v>CF2.2W1誘導灯C級片面</v>
      </c>
      <c r="M441" s="14">
        <f>VLOOKUP(L441,照明器具一覧!$B$4:$F$129,5,FALSE)</f>
        <v>4</v>
      </c>
      <c r="N441" s="14">
        <v>1</v>
      </c>
      <c r="O441" s="142">
        <f t="shared" si="13"/>
        <v>35.04</v>
      </c>
    </row>
    <row r="442" spans="1:15">
      <c r="A442" s="2" t="s">
        <v>1063</v>
      </c>
      <c r="B442" s="78" t="s">
        <v>1499</v>
      </c>
      <c r="C442" s="29" t="s">
        <v>68</v>
      </c>
      <c r="D442" s="2" t="s">
        <v>260</v>
      </c>
      <c r="E442" s="2" t="s">
        <v>77</v>
      </c>
      <c r="F442" s="29" t="s">
        <v>45</v>
      </c>
      <c r="G442" s="29" t="s">
        <v>98</v>
      </c>
      <c r="H442" s="34">
        <v>1</v>
      </c>
      <c r="I442" s="29" t="s">
        <v>594</v>
      </c>
      <c r="J442" s="29">
        <v>1</v>
      </c>
      <c r="K442" s="32">
        <f>VLOOKUP(E442,照明設備稼働時間!$A$4:$E$31,5,FALSE)</f>
        <v>8760</v>
      </c>
      <c r="L442" s="32" t="str">
        <f t="shared" si="12"/>
        <v>CF2W1誘導灯C級片面</v>
      </c>
      <c r="M442" s="14">
        <f>VLOOKUP(L442,照明器具一覧!$B$4:$F$129,5,FALSE)</f>
        <v>4</v>
      </c>
      <c r="N442" s="14">
        <v>1</v>
      </c>
      <c r="O442" s="142">
        <f t="shared" si="13"/>
        <v>35.04</v>
      </c>
    </row>
    <row r="443" spans="1:15">
      <c r="A443" s="2" t="s">
        <v>1064</v>
      </c>
      <c r="B443" s="78" t="s">
        <v>1499</v>
      </c>
      <c r="C443" s="29" t="s">
        <v>67</v>
      </c>
      <c r="D443" s="2" t="s">
        <v>260</v>
      </c>
      <c r="E443" s="2" t="s">
        <v>77</v>
      </c>
      <c r="F443" s="29" t="s">
        <v>65</v>
      </c>
      <c r="G443" s="29" t="s">
        <v>97</v>
      </c>
      <c r="H443" s="34">
        <v>1</v>
      </c>
      <c r="I443" s="29" t="s">
        <v>594</v>
      </c>
      <c r="J443" s="29">
        <v>1</v>
      </c>
      <c r="K443" s="32">
        <f>VLOOKUP(E443,照明設備稼働時間!$A$4:$E$31,5,FALSE)</f>
        <v>8760</v>
      </c>
      <c r="L443" s="32" t="str">
        <f t="shared" si="12"/>
        <v>CF2.2W1誘導灯C級片面</v>
      </c>
      <c r="M443" s="14">
        <f>VLOOKUP(L443,照明器具一覧!$B$4:$F$129,5,FALSE)</f>
        <v>4</v>
      </c>
      <c r="N443" s="14">
        <v>1</v>
      </c>
      <c r="O443" s="142">
        <f t="shared" si="13"/>
        <v>35.04</v>
      </c>
    </row>
    <row r="444" spans="1:15">
      <c r="A444" s="2" t="s">
        <v>1065</v>
      </c>
      <c r="B444" s="78" t="s">
        <v>1499</v>
      </c>
      <c r="C444" s="29" t="s">
        <v>69</v>
      </c>
      <c r="D444" s="2" t="s">
        <v>260</v>
      </c>
      <c r="E444" s="2" t="s">
        <v>77</v>
      </c>
      <c r="F444" s="29" t="s">
        <v>49</v>
      </c>
      <c r="G444" s="29" t="s">
        <v>97</v>
      </c>
      <c r="H444" s="34">
        <v>1</v>
      </c>
      <c r="I444" s="29" t="s">
        <v>594</v>
      </c>
      <c r="J444" s="29">
        <v>1</v>
      </c>
      <c r="K444" s="32">
        <f>VLOOKUP(E444,照明設備稼働時間!$A$4:$E$31,5,FALSE)</f>
        <v>8760</v>
      </c>
      <c r="L444" s="32" t="str">
        <f t="shared" si="12"/>
        <v>CF2.2W1誘導灯C級片面</v>
      </c>
      <c r="M444" s="14">
        <f>VLOOKUP(L444,照明器具一覧!$B$4:$F$129,5,FALSE)</f>
        <v>4</v>
      </c>
      <c r="N444" s="14">
        <v>1</v>
      </c>
      <c r="O444" s="142">
        <f t="shared" si="13"/>
        <v>35.04</v>
      </c>
    </row>
    <row r="445" spans="1:15">
      <c r="A445" s="2" t="s">
        <v>1066</v>
      </c>
      <c r="B445" s="78" t="s">
        <v>1499</v>
      </c>
      <c r="C445" s="29" t="s">
        <v>67</v>
      </c>
      <c r="D445" s="2" t="s">
        <v>260</v>
      </c>
      <c r="E445" s="2" t="s">
        <v>77</v>
      </c>
      <c r="F445" s="29" t="s">
        <v>23</v>
      </c>
      <c r="G445" s="29" t="s">
        <v>97</v>
      </c>
      <c r="H445" s="34">
        <v>1</v>
      </c>
      <c r="I445" s="29" t="s">
        <v>594</v>
      </c>
      <c r="J445" s="29">
        <v>1</v>
      </c>
      <c r="K445" s="32">
        <f>VLOOKUP(E445,照明設備稼働時間!$A$4:$E$31,5,FALSE)</f>
        <v>8760</v>
      </c>
      <c r="L445" s="32" t="str">
        <f t="shared" si="12"/>
        <v>CF2.2W1誘導灯C級片面</v>
      </c>
      <c r="M445" s="14">
        <f>VLOOKUP(L445,照明器具一覧!$B$4:$F$129,5,FALSE)</f>
        <v>4</v>
      </c>
      <c r="N445" s="14">
        <v>1</v>
      </c>
      <c r="O445" s="142">
        <f t="shared" si="13"/>
        <v>35.04</v>
      </c>
    </row>
    <row r="446" spans="1:15">
      <c r="A446" s="2" t="s">
        <v>1067</v>
      </c>
      <c r="B446" s="78" t="s">
        <v>1499</v>
      </c>
      <c r="C446" s="29" t="s">
        <v>68</v>
      </c>
      <c r="D446" s="2" t="s">
        <v>260</v>
      </c>
      <c r="E446" s="2" t="s">
        <v>77</v>
      </c>
      <c r="F446" s="29" t="s">
        <v>23</v>
      </c>
      <c r="G446" s="29" t="s">
        <v>98</v>
      </c>
      <c r="H446" s="34">
        <v>1</v>
      </c>
      <c r="I446" s="29" t="s">
        <v>594</v>
      </c>
      <c r="J446" s="29">
        <v>1</v>
      </c>
      <c r="K446" s="32">
        <f>VLOOKUP(E446,照明設備稼働時間!$A$4:$E$31,5,FALSE)</f>
        <v>8760</v>
      </c>
      <c r="L446" s="32" t="str">
        <f t="shared" si="12"/>
        <v>CF2W1誘導灯C級片面</v>
      </c>
      <c r="M446" s="14">
        <f>VLOOKUP(L446,照明器具一覧!$B$4:$F$129,5,FALSE)</f>
        <v>4</v>
      </c>
      <c r="N446" s="14">
        <v>1</v>
      </c>
      <c r="O446" s="142">
        <f t="shared" si="13"/>
        <v>35.04</v>
      </c>
    </row>
    <row r="447" spans="1:15">
      <c r="A447" s="2" t="s">
        <v>1068</v>
      </c>
      <c r="B447" s="78" t="s">
        <v>1499</v>
      </c>
      <c r="C447" s="29" t="s">
        <v>67</v>
      </c>
      <c r="D447" s="2" t="s">
        <v>260</v>
      </c>
      <c r="E447" s="2" t="s">
        <v>77</v>
      </c>
      <c r="F447" s="29" t="s">
        <v>11</v>
      </c>
      <c r="G447" s="29" t="s">
        <v>97</v>
      </c>
      <c r="H447" s="34">
        <v>1</v>
      </c>
      <c r="I447" s="29" t="s">
        <v>594</v>
      </c>
      <c r="J447" s="29">
        <v>1</v>
      </c>
      <c r="K447" s="32">
        <f>VLOOKUP(E447,照明設備稼働時間!$A$4:$E$31,5,FALSE)</f>
        <v>8760</v>
      </c>
      <c r="L447" s="32" t="str">
        <f t="shared" si="12"/>
        <v>CF2.2W1誘導灯C級片面</v>
      </c>
      <c r="M447" s="14">
        <f>VLOOKUP(L447,照明器具一覧!$B$4:$F$129,5,FALSE)</f>
        <v>4</v>
      </c>
      <c r="N447" s="14">
        <v>1</v>
      </c>
      <c r="O447" s="142">
        <f t="shared" si="13"/>
        <v>35.04</v>
      </c>
    </row>
    <row r="448" spans="1:15">
      <c r="A448" s="2" t="s">
        <v>1069</v>
      </c>
      <c r="B448" s="78" t="s">
        <v>1499</v>
      </c>
      <c r="C448" s="29" t="s">
        <v>68</v>
      </c>
      <c r="D448" s="2" t="s">
        <v>260</v>
      </c>
      <c r="E448" s="2" t="s">
        <v>77</v>
      </c>
      <c r="F448" s="29" t="s">
        <v>11</v>
      </c>
      <c r="G448" s="29" t="s">
        <v>98</v>
      </c>
      <c r="H448" s="34">
        <v>1</v>
      </c>
      <c r="I448" s="29" t="s">
        <v>594</v>
      </c>
      <c r="J448" s="29">
        <v>8</v>
      </c>
      <c r="K448" s="32">
        <f>VLOOKUP(E448,照明設備稼働時間!$A$4:$E$31,5,FALSE)</f>
        <v>8760</v>
      </c>
      <c r="L448" s="32" t="str">
        <f t="shared" si="12"/>
        <v>CF2W1誘導灯C級片面</v>
      </c>
      <c r="M448" s="14">
        <f>VLOOKUP(L448,照明器具一覧!$B$4:$F$129,5,FALSE)</f>
        <v>4</v>
      </c>
      <c r="N448" s="14">
        <v>1</v>
      </c>
      <c r="O448" s="142">
        <f t="shared" si="13"/>
        <v>280.32</v>
      </c>
    </row>
    <row r="449" spans="1:15">
      <c r="A449" s="2" t="s">
        <v>1070</v>
      </c>
      <c r="B449" s="78" t="s">
        <v>1499</v>
      </c>
      <c r="C449" s="29" t="s">
        <v>69</v>
      </c>
      <c r="D449" s="2" t="s">
        <v>260</v>
      </c>
      <c r="E449" s="2" t="s">
        <v>77</v>
      </c>
      <c r="F449" s="29" t="s">
        <v>11</v>
      </c>
      <c r="G449" s="29" t="s">
        <v>97</v>
      </c>
      <c r="H449" s="34">
        <v>1</v>
      </c>
      <c r="I449" s="29" t="s">
        <v>594</v>
      </c>
      <c r="J449" s="29">
        <v>1</v>
      </c>
      <c r="K449" s="32">
        <f>VLOOKUP(E449,照明設備稼働時間!$A$4:$E$31,5,FALSE)</f>
        <v>8760</v>
      </c>
      <c r="L449" s="32" t="str">
        <f t="shared" si="12"/>
        <v>CF2.2W1誘導灯C級片面</v>
      </c>
      <c r="M449" s="14">
        <f>VLOOKUP(L449,照明器具一覧!$B$4:$F$129,5,FALSE)</f>
        <v>4</v>
      </c>
      <c r="N449" s="14">
        <v>1</v>
      </c>
      <c r="O449" s="142">
        <f t="shared" si="13"/>
        <v>35.04</v>
      </c>
    </row>
    <row r="450" spans="1:15">
      <c r="A450" s="2" t="s">
        <v>1071</v>
      </c>
      <c r="B450" s="78" t="s">
        <v>1499</v>
      </c>
      <c r="C450" s="29"/>
      <c r="D450" s="2" t="s">
        <v>260</v>
      </c>
      <c r="E450" s="2" t="s">
        <v>624</v>
      </c>
      <c r="F450" s="29" t="s">
        <v>71</v>
      </c>
      <c r="G450" s="29" t="s">
        <v>72</v>
      </c>
      <c r="H450" s="34">
        <v>1</v>
      </c>
      <c r="I450" s="29" t="s">
        <v>585</v>
      </c>
      <c r="J450" s="29">
        <v>111</v>
      </c>
      <c r="K450" s="32">
        <f>VLOOKUP(E450,照明設備稼働時間!$A$4:$E$31,5,FALSE)</f>
        <v>0</v>
      </c>
      <c r="L450" s="32" t="str">
        <f t="shared" si="12"/>
        <v>IL60W1非常照明　電源別置型</v>
      </c>
      <c r="M450" s="14">
        <f>VLOOKUP(L450,照明器具一覧!$B$4:$F$129,5,FALSE)</f>
        <v>60</v>
      </c>
      <c r="N450" s="14">
        <v>1</v>
      </c>
      <c r="O450" s="142">
        <f t="shared" si="13"/>
        <v>0</v>
      </c>
    </row>
    <row r="451" spans="1:15">
      <c r="A451" s="2" t="s">
        <v>1072</v>
      </c>
      <c r="B451" s="78" t="s">
        <v>1499</v>
      </c>
      <c r="C451" s="29" t="s">
        <v>581</v>
      </c>
      <c r="D451" s="2" t="s">
        <v>260</v>
      </c>
      <c r="E451" s="2" t="s">
        <v>624</v>
      </c>
      <c r="F451" s="29" t="s">
        <v>71</v>
      </c>
      <c r="G451" s="29" t="s">
        <v>218</v>
      </c>
      <c r="H451" s="34">
        <v>1</v>
      </c>
      <c r="I451" s="29" t="s">
        <v>585</v>
      </c>
      <c r="J451" s="29">
        <v>1</v>
      </c>
      <c r="K451" s="32">
        <f>VLOOKUP(E451,照明設備稼働時間!$A$4:$E$31,5,FALSE)</f>
        <v>0</v>
      </c>
      <c r="L451" s="32" t="str">
        <f t="shared" si="12"/>
        <v>IL40W1非常照明　電源別置型</v>
      </c>
      <c r="M451" s="14">
        <f>VLOOKUP(L451,照明器具一覧!$B$4:$F$129,5,FALSE)</f>
        <v>40</v>
      </c>
      <c r="N451" s="14">
        <v>1</v>
      </c>
      <c r="O451" s="142">
        <f t="shared" si="13"/>
        <v>0</v>
      </c>
    </row>
    <row r="452" spans="1:15">
      <c r="A452" s="2" t="s">
        <v>1073</v>
      </c>
      <c r="B452" s="78" t="s">
        <v>1499</v>
      </c>
      <c r="C452" s="2" t="s">
        <v>20</v>
      </c>
      <c r="D452" s="2" t="s">
        <v>17</v>
      </c>
      <c r="E452" s="2" t="s">
        <v>44</v>
      </c>
      <c r="F452" s="2" t="s">
        <v>18</v>
      </c>
      <c r="G452" s="2" t="s">
        <v>21</v>
      </c>
      <c r="H452" s="5">
        <v>1</v>
      </c>
      <c r="I452" s="2" t="s">
        <v>91</v>
      </c>
      <c r="J452" s="2">
        <v>1</v>
      </c>
      <c r="K452" s="32">
        <f>VLOOKUP(E452,照明設備稼働時間!$A$4:$E$31,5,FALSE)</f>
        <v>242</v>
      </c>
      <c r="L452" s="32" t="str">
        <f t="shared" ref="L452:L515" si="14">G452&amp;H452&amp;I452</f>
        <v>FHF32W1逆富士</v>
      </c>
      <c r="M452" s="14">
        <f>VLOOKUP(L452,照明器具一覧!$B$4:$F$129,5,FALSE)</f>
        <v>36</v>
      </c>
      <c r="N452" s="14">
        <v>1</v>
      </c>
      <c r="O452" s="142">
        <f t="shared" si="13"/>
        <v>8.7119999999999997</v>
      </c>
    </row>
    <row r="453" spans="1:15">
      <c r="A453" s="2" t="s">
        <v>1074</v>
      </c>
      <c r="B453" s="78" t="s">
        <v>1499</v>
      </c>
      <c r="C453" s="2" t="s">
        <v>20</v>
      </c>
      <c r="D453" s="2" t="s">
        <v>17</v>
      </c>
      <c r="E453" s="29" t="s">
        <v>1513</v>
      </c>
      <c r="F453" s="2" t="s">
        <v>22</v>
      </c>
      <c r="G453" s="2" t="s">
        <v>21</v>
      </c>
      <c r="H453" s="5">
        <v>1</v>
      </c>
      <c r="I453" s="2" t="s">
        <v>91</v>
      </c>
      <c r="J453" s="2">
        <v>1</v>
      </c>
      <c r="K453" s="32">
        <f>VLOOKUP(E453,照明設備稼働時間!$A$4:$E$31,5,FALSE)</f>
        <v>484</v>
      </c>
      <c r="L453" s="32" t="str">
        <f t="shared" si="14"/>
        <v>FHF32W1逆富士</v>
      </c>
      <c r="M453" s="14">
        <f>VLOOKUP(L453,照明器具一覧!$B$4:$F$129,5,FALSE)</f>
        <v>36</v>
      </c>
      <c r="N453" s="14">
        <v>1</v>
      </c>
      <c r="O453" s="142">
        <f t="shared" ref="O453:O516" si="15">(M453*J453*K453*N453)/1000</f>
        <v>17.423999999999999</v>
      </c>
    </row>
    <row r="454" spans="1:15">
      <c r="A454" s="2" t="s">
        <v>1075</v>
      </c>
      <c r="B454" s="78" t="s">
        <v>1499</v>
      </c>
      <c r="C454" s="2" t="s">
        <v>28</v>
      </c>
      <c r="D454" s="2" t="s">
        <v>17</v>
      </c>
      <c r="E454" s="2" t="s">
        <v>601</v>
      </c>
      <c r="F454" s="2" t="s">
        <v>23</v>
      </c>
      <c r="G454" s="2" t="s">
        <v>21</v>
      </c>
      <c r="H454" s="5">
        <v>1</v>
      </c>
      <c r="I454" s="2" t="s">
        <v>29</v>
      </c>
      <c r="J454" s="2">
        <v>3</v>
      </c>
      <c r="K454" s="32">
        <f>VLOOKUP(E454,照明設備稼働時間!$A$4:$E$31,5,FALSE)</f>
        <v>2299</v>
      </c>
      <c r="L454" s="32" t="str">
        <f t="shared" si="14"/>
        <v>FHF32W1埋込W190</v>
      </c>
      <c r="M454" s="14">
        <f>VLOOKUP(L454,照明器具一覧!$B$4:$F$129,5,FALSE)</f>
        <v>36</v>
      </c>
      <c r="N454" s="14">
        <v>0.33</v>
      </c>
      <c r="O454" s="142">
        <f t="shared" si="15"/>
        <v>81.936360000000008</v>
      </c>
    </row>
    <row r="455" spans="1:15">
      <c r="A455" s="2" t="s">
        <v>1076</v>
      </c>
      <c r="B455" s="78" t="s">
        <v>1499</v>
      </c>
      <c r="C455" s="2" t="s">
        <v>78</v>
      </c>
      <c r="D455" s="2" t="s">
        <v>16</v>
      </c>
      <c r="E455" s="2" t="s">
        <v>1507</v>
      </c>
      <c r="F455" s="2" t="s">
        <v>24</v>
      </c>
      <c r="G455" s="2" t="s">
        <v>19</v>
      </c>
      <c r="H455" s="5">
        <v>1</v>
      </c>
      <c r="I455" s="2" t="s">
        <v>30</v>
      </c>
      <c r="J455" s="2">
        <v>1</v>
      </c>
      <c r="K455" s="32">
        <f>VLOOKUP(E455,照明設備稼働時間!$A$4:$E$31,5,FALSE)</f>
        <v>0</v>
      </c>
      <c r="L455" s="32" t="str">
        <f t="shared" si="14"/>
        <v>FHF16W1片反射笠付(高出力)</v>
      </c>
      <c r="M455" s="14">
        <f>VLOOKUP(L455,照明器具一覧!$B$4:$F$129,5,FALSE)</f>
        <v>26</v>
      </c>
      <c r="N455" s="14">
        <v>1</v>
      </c>
      <c r="O455" s="142">
        <f t="shared" si="15"/>
        <v>0</v>
      </c>
    </row>
    <row r="456" spans="1:15">
      <c r="A456" s="2" t="s">
        <v>1077</v>
      </c>
      <c r="B456" s="78" t="s">
        <v>1499</v>
      </c>
      <c r="C456" s="2" t="s">
        <v>79</v>
      </c>
      <c r="D456" s="2" t="s">
        <v>16</v>
      </c>
      <c r="E456" s="2" t="s">
        <v>601</v>
      </c>
      <c r="F456" s="2" t="s">
        <v>25</v>
      </c>
      <c r="G456" s="2" t="s">
        <v>21</v>
      </c>
      <c r="H456" s="5">
        <v>1</v>
      </c>
      <c r="I456" s="2" t="s">
        <v>553</v>
      </c>
      <c r="J456" s="2">
        <v>1</v>
      </c>
      <c r="K456" s="32">
        <f>VLOOKUP(E456,照明設備稼働時間!$A$4:$E$31,5,FALSE)</f>
        <v>2299</v>
      </c>
      <c r="L456" s="32" t="str">
        <f t="shared" si="14"/>
        <v>FHF32W1階段灯　非常灯付</v>
      </c>
      <c r="M456" s="14">
        <f>VLOOKUP(L456,照明器具一覧!$B$4:$F$129,5,FALSE)</f>
        <v>36</v>
      </c>
      <c r="N456" s="14">
        <v>1</v>
      </c>
      <c r="O456" s="142">
        <f t="shared" si="15"/>
        <v>82.763999999999996</v>
      </c>
    </row>
    <row r="457" spans="1:15">
      <c r="A457" s="2" t="s">
        <v>1078</v>
      </c>
      <c r="B457" s="78" t="s">
        <v>1499</v>
      </c>
      <c r="C457" s="2" t="s">
        <v>80</v>
      </c>
      <c r="D457" s="2" t="s">
        <v>16</v>
      </c>
      <c r="E457" s="2" t="s">
        <v>601</v>
      </c>
      <c r="F457" s="2" t="s">
        <v>25</v>
      </c>
      <c r="G457" s="2" t="s">
        <v>21</v>
      </c>
      <c r="H457" s="5">
        <v>1</v>
      </c>
      <c r="I457" s="2" t="s">
        <v>553</v>
      </c>
      <c r="J457" s="2">
        <v>1</v>
      </c>
      <c r="K457" s="32">
        <f>VLOOKUP(E457,照明設備稼働時間!$A$4:$E$31,5,FALSE)</f>
        <v>2299</v>
      </c>
      <c r="L457" s="32" t="str">
        <f t="shared" si="14"/>
        <v>FHF32W1階段灯　非常灯付</v>
      </c>
      <c r="M457" s="14">
        <f>VLOOKUP(L457,照明器具一覧!$B$4:$F$129,5,FALSE)</f>
        <v>36</v>
      </c>
      <c r="N457" s="14">
        <v>1</v>
      </c>
      <c r="O457" s="142">
        <f t="shared" si="15"/>
        <v>82.763999999999996</v>
      </c>
    </row>
    <row r="458" spans="1:15">
      <c r="A458" s="2" t="s">
        <v>1079</v>
      </c>
      <c r="B458" s="78" t="s">
        <v>1499</v>
      </c>
      <c r="C458" s="2" t="s">
        <v>20</v>
      </c>
      <c r="D458" s="2" t="s">
        <v>16</v>
      </c>
      <c r="E458" s="2" t="s">
        <v>603</v>
      </c>
      <c r="F458" s="2" t="s">
        <v>26</v>
      </c>
      <c r="G458" s="2" t="s">
        <v>21</v>
      </c>
      <c r="H458" s="5">
        <v>1</v>
      </c>
      <c r="I458" s="2" t="s">
        <v>91</v>
      </c>
      <c r="J458" s="2">
        <v>1</v>
      </c>
      <c r="K458" s="32">
        <f>VLOOKUP(E458,照明設備稼働時間!$A$4:$E$31,5,FALSE)</f>
        <v>968</v>
      </c>
      <c r="L458" s="32" t="str">
        <f t="shared" si="14"/>
        <v>FHF32W1逆富士</v>
      </c>
      <c r="M458" s="14">
        <f>VLOOKUP(L458,照明器具一覧!$B$4:$F$129,5,FALSE)</f>
        <v>36</v>
      </c>
      <c r="N458" s="14">
        <v>1</v>
      </c>
      <c r="O458" s="142">
        <f t="shared" si="15"/>
        <v>34.847999999999999</v>
      </c>
    </row>
    <row r="459" spans="1:15">
      <c r="A459" s="2" t="s">
        <v>1080</v>
      </c>
      <c r="B459" s="78" t="s">
        <v>1499</v>
      </c>
      <c r="C459" s="2"/>
      <c r="D459" s="2" t="s">
        <v>16</v>
      </c>
      <c r="E459" s="2" t="s">
        <v>603</v>
      </c>
      <c r="F459" s="2" t="s">
        <v>26</v>
      </c>
      <c r="G459" s="2" t="s">
        <v>31</v>
      </c>
      <c r="H459" s="5">
        <v>1</v>
      </c>
      <c r="I459" s="2" t="s">
        <v>316</v>
      </c>
      <c r="J459" s="2">
        <v>3</v>
      </c>
      <c r="K459" s="32">
        <f>VLOOKUP(E459,照明設備稼働時間!$A$4:$E$31,5,FALSE)</f>
        <v>968</v>
      </c>
      <c r="L459" s="32" t="str">
        <f t="shared" si="14"/>
        <v>LED電球1レセップ</v>
      </c>
      <c r="M459" s="14">
        <f>VLOOKUP(L459,照明器具一覧!$B$4:$F$129,5,FALSE)</f>
        <v>4.5999999999999996</v>
      </c>
      <c r="N459" s="14">
        <v>0.66</v>
      </c>
      <c r="O459" s="142">
        <f t="shared" si="15"/>
        <v>8.8165440000000004</v>
      </c>
    </row>
    <row r="460" spans="1:15">
      <c r="A460" s="2" t="s">
        <v>1081</v>
      </c>
      <c r="B460" s="78" t="s">
        <v>1499</v>
      </c>
      <c r="C460" s="2" t="s">
        <v>20</v>
      </c>
      <c r="D460" s="2" t="s">
        <v>16</v>
      </c>
      <c r="E460" s="2" t="s">
        <v>603</v>
      </c>
      <c r="F460" s="2" t="s">
        <v>27</v>
      </c>
      <c r="G460" s="2" t="s">
        <v>21</v>
      </c>
      <c r="H460" s="5">
        <v>1</v>
      </c>
      <c r="I460" s="2" t="s">
        <v>91</v>
      </c>
      <c r="J460" s="2">
        <v>1</v>
      </c>
      <c r="K460" s="32">
        <f>VLOOKUP(E460,照明設備稼働時間!$A$4:$E$31,5,FALSE)</f>
        <v>968</v>
      </c>
      <c r="L460" s="32" t="str">
        <f t="shared" si="14"/>
        <v>FHF32W1逆富士</v>
      </c>
      <c r="M460" s="14">
        <f>VLOOKUP(L460,照明器具一覧!$B$4:$F$129,5,FALSE)</f>
        <v>36</v>
      </c>
      <c r="N460" s="14">
        <v>1</v>
      </c>
      <c r="O460" s="142">
        <f t="shared" si="15"/>
        <v>34.847999999999999</v>
      </c>
    </row>
    <row r="461" spans="1:15">
      <c r="A461" s="2" t="s">
        <v>1082</v>
      </c>
      <c r="B461" s="78" t="s">
        <v>1499</v>
      </c>
      <c r="C461" s="2"/>
      <c r="D461" s="2" t="s">
        <v>16</v>
      </c>
      <c r="E461" s="2" t="s">
        <v>603</v>
      </c>
      <c r="F461" s="2" t="s">
        <v>27</v>
      </c>
      <c r="G461" s="2" t="s">
        <v>31</v>
      </c>
      <c r="H461" s="5">
        <v>1</v>
      </c>
      <c r="I461" s="2" t="s">
        <v>316</v>
      </c>
      <c r="J461" s="2">
        <v>2</v>
      </c>
      <c r="K461" s="32">
        <f>VLOOKUP(E461,照明設備稼働時間!$A$4:$E$31,5,FALSE)</f>
        <v>968</v>
      </c>
      <c r="L461" s="32" t="str">
        <f t="shared" si="14"/>
        <v>LED電球1レセップ</v>
      </c>
      <c r="M461" s="14">
        <f>VLOOKUP(L461,照明器具一覧!$B$4:$F$129,5,FALSE)</f>
        <v>4.5999999999999996</v>
      </c>
      <c r="N461" s="14">
        <v>0.5</v>
      </c>
      <c r="O461" s="142">
        <f t="shared" si="15"/>
        <v>4.452799999999999</v>
      </c>
    </row>
    <row r="462" spans="1:15">
      <c r="A462" s="2" t="s">
        <v>1083</v>
      </c>
      <c r="B462" s="78" t="s">
        <v>1499</v>
      </c>
      <c r="C462" s="2" t="s">
        <v>81</v>
      </c>
      <c r="D462" s="2" t="s">
        <v>16</v>
      </c>
      <c r="E462" s="2" t="s">
        <v>600</v>
      </c>
      <c r="F462" s="2" t="s">
        <v>33</v>
      </c>
      <c r="G462" s="2" t="s">
        <v>21</v>
      </c>
      <c r="H462" s="5">
        <v>2</v>
      </c>
      <c r="I462" s="2" t="s">
        <v>56</v>
      </c>
      <c r="J462" s="2">
        <v>54</v>
      </c>
      <c r="K462" s="32">
        <f>VLOOKUP(E462,照明設備稼働時間!$A$4:$E$31,5,FALSE)</f>
        <v>2299</v>
      </c>
      <c r="L462" s="32" t="str">
        <f t="shared" si="14"/>
        <v>FHF32W2システム天井</v>
      </c>
      <c r="M462" s="14">
        <f>VLOOKUP(L462,照明器具一覧!$B$4:$F$129,5,FALSE)</f>
        <v>72</v>
      </c>
      <c r="N462" s="14">
        <v>1</v>
      </c>
      <c r="O462" s="142">
        <f t="shared" si="15"/>
        <v>8938.5120000000006</v>
      </c>
    </row>
    <row r="463" spans="1:15">
      <c r="A463" s="2" t="s">
        <v>1084</v>
      </c>
      <c r="B463" s="78" t="s">
        <v>1499</v>
      </c>
      <c r="C463" s="2" t="s">
        <v>82</v>
      </c>
      <c r="D463" s="2" t="s">
        <v>16</v>
      </c>
      <c r="E463" s="2" t="s">
        <v>606</v>
      </c>
      <c r="F463" s="2" t="s">
        <v>34</v>
      </c>
      <c r="G463" s="2" t="s">
        <v>21</v>
      </c>
      <c r="H463" s="5">
        <v>1</v>
      </c>
      <c r="I463" s="2" t="s">
        <v>88</v>
      </c>
      <c r="J463" s="2">
        <v>4</v>
      </c>
      <c r="K463" s="32">
        <f>VLOOKUP(E463,照明設備稼働時間!$A$4:$E$31,5,FALSE)</f>
        <v>242</v>
      </c>
      <c r="L463" s="32" t="str">
        <f t="shared" si="14"/>
        <v>FHF32W1笠付</v>
      </c>
      <c r="M463" s="14">
        <f>VLOOKUP(L463,照明器具一覧!$B$4:$F$129,5,FALSE)</f>
        <v>36</v>
      </c>
      <c r="N463" s="14">
        <v>1</v>
      </c>
      <c r="O463" s="142">
        <f t="shared" si="15"/>
        <v>34.847999999999999</v>
      </c>
    </row>
    <row r="464" spans="1:15">
      <c r="A464" s="2" t="s">
        <v>1085</v>
      </c>
      <c r="B464" s="78" t="s">
        <v>1499</v>
      </c>
      <c r="C464" s="2" t="s">
        <v>83</v>
      </c>
      <c r="D464" s="2" t="s">
        <v>16</v>
      </c>
      <c r="E464" s="2" t="s">
        <v>265</v>
      </c>
      <c r="F464" s="2" t="s">
        <v>35</v>
      </c>
      <c r="G464" s="2" t="s">
        <v>21</v>
      </c>
      <c r="H464" s="5">
        <v>1</v>
      </c>
      <c r="I464" s="2" t="s">
        <v>89</v>
      </c>
      <c r="J464" s="2">
        <v>4</v>
      </c>
      <c r="K464" s="32">
        <f>VLOOKUP(E464,照明設備稼働時間!$A$4:$E$31,5,FALSE)</f>
        <v>2602</v>
      </c>
      <c r="L464" s="32" t="str">
        <f t="shared" si="14"/>
        <v>FHF32W1トラフ</v>
      </c>
      <c r="M464" s="14">
        <f>VLOOKUP(L464,照明器具一覧!$B$4:$F$129,5,FALSE)</f>
        <v>36</v>
      </c>
      <c r="N464" s="14">
        <v>1</v>
      </c>
      <c r="O464" s="142">
        <f t="shared" si="15"/>
        <v>374.68799999999999</v>
      </c>
    </row>
    <row r="465" spans="1:15">
      <c r="A465" s="2" t="s">
        <v>1086</v>
      </c>
      <c r="B465" s="78" t="s">
        <v>1499</v>
      </c>
      <c r="C465" s="2"/>
      <c r="D465" s="2" t="s">
        <v>16</v>
      </c>
      <c r="E465" s="2" t="s">
        <v>265</v>
      </c>
      <c r="F465" s="2" t="s">
        <v>35</v>
      </c>
      <c r="G465" s="2" t="s">
        <v>72</v>
      </c>
      <c r="H465" s="5">
        <v>1</v>
      </c>
      <c r="I465" s="2" t="s">
        <v>73</v>
      </c>
      <c r="J465" s="2">
        <v>4</v>
      </c>
      <c r="K465" s="32">
        <f>VLOOKUP(E465,照明設備稼働時間!$A$4:$E$31,5,FALSE)</f>
        <v>2602</v>
      </c>
      <c r="L465" s="32" t="str">
        <f t="shared" si="14"/>
        <v>IL60W1ダウンライト</v>
      </c>
      <c r="M465" s="14">
        <f>VLOOKUP(L465,照明器具一覧!$B$4:$F$129,5,FALSE)</f>
        <v>60</v>
      </c>
      <c r="N465" s="14">
        <v>1</v>
      </c>
      <c r="O465" s="142">
        <f t="shared" si="15"/>
        <v>624.48</v>
      </c>
    </row>
    <row r="466" spans="1:15">
      <c r="A466" s="2" t="s">
        <v>1087</v>
      </c>
      <c r="B466" s="78" t="s">
        <v>1499</v>
      </c>
      <c r="C466" s="2" t="s">
        <v>83</v>
      </c>
      <c r="D466" s="2" t="s">
        <v>16</v>
      </c>
      <c r="E466" s="2" t="s">
        <v>601</v>
      </c>
      <c r="F466" s="2" t="s">
        <v>11</v>
      </c>
      <c r="G466" s="2" t="s">
        <v>21</v>
      </c>
      <c r="H466" s="5">
        <v>1</v>
      </c>
      <c r="I466" s="2" t="s">
        <v>89</v>
      </c>
      <c r="J466" s="2">
        <v>76</v>
      </c>
      <c r="K466" s="32">
        <f>VLOOKUP(E466,照明設備稼働時間!$A$4:$E$31,5,FALSE)</f>
        <v>2299</v>
      </c>
      <c r="L466" s="32" t="str">
        <f t="shared" si="14"/>
        <v>FHF32W1トラフ</v>
      </c>
      <c r="M466" s="14">
        <f>VLOOKUP(L466,照明器具一覧!$B$4:$F$129,5,FALSE)</f>
        <v>36</v>
      </c>
      <c r="N466" s="14">
        <v>0.33</v>
      </c>
      <c r="O466" s="142">
        <f t="shared" si="15"/>
        <v>2075.7211200000002</v>
      </c>
    </row>
    <row r="467" spans="1:15">
      <c r="A467" s="2" t="s">
        <v>1088</v>
      </c>
      <c r="B467" s="78" t="s">
        <v>1499</v>
      </c>
      <c r="C467" s="2" t="s">
        <v>84</v>
      </c>
      <c r="D467" s="2" t="s">
        <v>16</v>
      </c>
      <c r="E467" s="2" t="s">
        <v>601</v>
      </c>
      <c r="F467" s="2" t="s">
        <v>11</v>
      </c>
      <c r="G467" s="2" t="s">
        <v>21</v>
      </c>
      <c r="H467" s="5">
        <v>1</v>
      </c>
      <c r="I467" s="2" t="s">
        <v>89</v>
      </c>
      <c r="J467" s="2">
        <v>2</v>
      </c>
      <c r="K467" s="32">
        <f>VLOOKUP(E467,照明設備稼働時間!$A$4:$E$31,5,FALSE)</f>
        <v>2299</v>
      </c>
      <c r="L467" s="32" t="str">
        <f t="shared" si="14"/>
        <v>FHF32W1トラフ</v>
      </c>
      <c r="M467" s="14">
        <f>VLOOKUP(L467,照明器具一覧!$B$4:$F$129,5,FALSE)</f>
        <v>36</v>
      </c>
      <c r="N467" s="14">
        <v>0.33</v>
      </c>
      <c r="O467" s="142">
        <f t="shared" si="15"/>
        <v>54.624240000000007</v>
      </c>
    </row>
    <row r="468" spans="1:15">
      <c r="A468" s="2" t="s">
        <v>1089</v>
      </c>
      <c r="B468" s="78" t="s">
        <v>1499</v>
      </c>
      <c r="C468" s="2"/>
      <c r="D468" s="2" t="s">
        <v>16</v>
      </c>
      <c r="E468" s="2" t="s">
        <v>601</v>
      </c>
      <c r="F468" s="2" t="s">
        <v>11</v>
      </c>
      <c r="G468" s="2" t="s">
        <v>21</v>
      </c>
      <c r="H468" s="5">
        <v>1</v>
      </c>
      <c r="I468" s="2" t="s">
        <v>74</v>
      </c>
      <c r="J468" s="2">
        <v>2</v>
      </c>
      <c r="K468" s="32">
        <f>VLOOKUP(E468,照明設備稼働時間!$A$4:$E$31,5,FALSE)</f>
        <v>2299</v>
      </c>
      <c r="L468" s="32" t="str">
        <f t="shared" si="14"/>
        <v>FHF32W1黒板灯</v>
      </c>
      <c r="M468" s="14">
        <f>VLOOKUP(L468,照明器具一覧!$B$4:$F$129,5,FALSE)</f>
        <v>36</v>
      </c>
      <c r="N468" s="14">
        <v>0.33</v>
      </c>
      <c r="O468" s="142">
        <f t="shared" si="15"/>
        <v>54.624240000000007</v>
      </c>
    </row>
    <row r="469" spans="1:15">
      <c r="A469" s="2" t="s">
        <v>1090</v>
      </c>
      <c r="B469" s="78" t="s">
        <v>1499</v>
      </c>
      <c r="C469" s="2"/>
      <c r="D469" s="2" t="s">
        <v>16</v>
      </c>
      <c r="E469" s="2" t="s">
        <v>265</v>
      </c>
      <c r="F469" s="2" t="s">
        <v>35</v>
      </c>
      <c r="G469" s="2" t="s">
        <v>72</v>
      </c>
      <c r="H469" s="5">
        <v>1</v>
      </c>
      <c r="I469" s="2" t="s">
        <v>73</v>
      </c>
      <c r="J469" s="2">
        <v>4</v>
      </c>
      <c r="K469" s="32">
        <f>VLOOKUP(E469,照明設備稼働時間!$A$4:$E$31,5,FALSE)</f>
        <v>2602</v>
      </c>
      <c r="L469" s="32" t="str">
        <f t="shared" si="14"/>
        <v>IL60W1ダウンライト</v>
      </c>
      <c r="M469" s="14">
        <f>VLOOKUP(L469,照明器具一覧!$B$4:$F$129,5,FALSE)</f>
        <v>60</v>
      </c>
      <c r="N469" s="14">
        <v>1</v>
      </c>
      <c r="O469" s="142">
        <f t="shared" si="15"/>
        <v>624.48</v>
      </c>
    </row>
    <row r="470" spans="1:15">
      <c r="A470" s="2" t="s">
        <v>1091</v>
      </c>
      <c r="B470" s="78" t="s">
        <v>1499</v>
      </c>
      <c r="C470" s="2"/>
      <c r="D470" s="2" t="s">
        <v>16</v>
      </c>
      <c r="E470" s="2" t="s">
        <v>601</v>
      </c>
      <c r="F470" s="2" t="s">
        <v>11</v>
      </c>
      <c r="G470" s="2" t="s">
        <v>75</v>
      </c>
      <c r="H470" s="5">
        <v>1</v>
      </c>
      <c r="I470" s="2" t="s">
        <v>76</v>
      </c>
      <c r="J470" s="2">
        <v>5</v>
      </c>
      <c r="K470" s="32">
        <f>VLOOKUP(E470,照明設備稼働時間!$A$4:$E$31,5,FALSE)</f>
        <v>2299</v>
      </c>
      <c r="L470" s="32" t="str">
        <f t="shared" si="14"/>
        <v>LED1ユニバーサルダウンライト</v>
      </c>
      <c r="M470" s="14">
        <f>VLOOKUP(L470,照明器具一覧!$B$4:$F$129,5,FALSE)</f>
        <v>10</v>
      </c>
      <c r="N470" s="14">
        <v>0.33</v>
      </c>
      <c r="O470" s="142">
        <f t="shared" si="15"/>
        <v>37.933500000000002</v>
      </c>
    </row>
    <row r="471" spans="1:15">
      <c r="A471" s="2" t="s">
        <v>1092</v>
      </c>
      <c r="B471" s="78" t="s">
        <v>1499</v>
      </c>
      <c r="C471" s="2" t="s">
        <v>28</v>
      </c>
      <c r="D471" s="2" t="s">
        <v>16</v>
      </c>
      <c r="E471" s="2" t="s">
        <v>1508</v>
      </c>
      <c r="F471" s="2" t="s">
        <v>57</v>
      </c>
      <c r="G471" s="2" t="s">
        <v>21</v>
      </c>
      <c r="H471" s="5">
        <v>1</v>
      </c>
      <c r="I471" s="2" t="s">
        <v>90</v>
      </c>
      <c r="J471" s="2">
        <v>2</v>
      </c>
      <c r="K471" s="32">
        <f>VLOOKUP(E471,照明設備稼働時間!$A$4:$E$31,5,FALSE)</f>
        <v>8760</v>
      </c>
      <c r="L471" s="32" t="str">
        <f t="shared" si="14"/>
        <v>FHF32W1埋込　W190</v>
      </c>
      <c r="M471" s="14">
        <f>VLOOKUP(L471,照明器具一覧!$B$4:$F$129,5,FALSE)</f>
        <v>36</v>
      </c>
      <c r="N471" s="14">
        <v>1</v>
      </c>
      <c r="O471" s="142">
        <f t="shared" si="15"/>
        <v>630.72</v>
      </c>
    </row>
    <row r="472" spans="1:15">
      <c r="A472" s="2" t="s">
        <v>1093</v>
      </c>
      <c r="B472" s="78" t="s">
        <v>1499</v>
      </c>
      <c r="C472" s="2"/>
      <c r="D472" s="2" t="s">
        <v>16</v>
      </c>
      <c r="E472" s="2" t="s">
        <v>1508</v>
      </c>
      <c r="F472" s="2" t="s">
        <v>57</v>
      </c>
      <c r="G472" s="2" t="s">
        <v>72</v>
      </c>
      <c r="H472" s="5">
        <v>1</v>
      </c>
      <c r="I472" s="2" t="s">
        <v>73</v>
      </c>
      <c r="J472" s="2">
        <v>1</v>
      </c>
      <c r="K472" s="32">
        <f>VLOOKUP(E472,照明設備稼働時間!$A$4:$E$31,5,FALSE)</f>
        <v>8760</v>
      </c>
      <c r="L472" s="32" t="str">
        <f t="shared" si="14"/>
        <v>IL60W1ダウンライト</v>
      </c>
      <c r="M472" s="14">
        <f>VLOOKUP(L472,照明器具一覧!$B$4:$F$129,5,FALSE)</f>
        <v>60</v>
      </c>
      <c r="N472" s="14">
        <v>1</v>
      </c>
      <c r="O472" s="142">
        <f t="shared" si="15"/>
        <v>525.6</v>
      </c>
    </row>
    <row r="473" spans="1:15">
      <c r="A473" s="2" t="s">
        <v>1094</v>
      </c>
      <c r="B473" s="78" t="s">
        <v>1499</v>
      </c>
      <c r="C473" s="2" t="s">
        <v>79</v>
      </c>
      <c r="D473" s="2" t="s">
        <v>16</v>
      </c>
      <c r="E473" s="2" t="s">
        <v>601</v>
      </c>
      <c r="F473" s="2" t="s">
        <v>36</v>
      </c>
      <c r="G473" s="2" t="s">
        <v>21</v>
      </c>
      <c r="H473" s="5">
        <v>1</v>
      </c>
      <c r="I473" s="2" t="s">
        <v>553</v>
      </c>
      <c r="J473" s="2">
        <v>1</v>
      </c>
      <c r="K473" s="32">
        <f>VLOOKUP(E473,照明設備稼働時間!$A$4:$E$31,5,FALSE)</f>
        <v>2299</v>
      </c>
      <c r="L473" s="32" t="str">
        <f t="shared" si="14"/>
        <v>FHF32W1階段灯　非常灯付</v>
      </c>
      <c r="M473" s="14">
        <f>VLOOKUP(L473,照明器具一覧!$B$4:$F$129,5,FALSE)</f>
        <v>36</v>
      </c>
      <c r="N473" s="14">
        <v>1</v>
      </c>
      <c r="O473" s="142">
        <f t="shared" si="15"/>
        <v>82.763999999999996</v>
      </c>
    </row>
    <row r="474" spans="1:15">
      <c r="A474" s="2" t="s">
        <v>1095</v>
      </c>
      <c r="B474" s="78" t="s">
        <v>1499</v>
      </c>
      <c r="C474" s="2" t="s">
        <v>80</v>
      </c>
      <c r="D474" s="2" t="s">
        <v>16</v>
      </c>
      <c r="E474" s="2" t="s">
        <v>601</v>
      </c>
      <c r="F474" s="2" t="s">
        <v>36</v>
      </c>
      <c r="G474" s="2" t="s">
        <v>21</v>
      </c>
      <c r="H474" s="5">
        <v>1</v>
      </c>
      <c r="I474" s="2" t="s">
        <v>553</v>
      </c>
      <c r="J474" s="2">
        <v>1</v>
      </c>
      <c r="K474" s="32">
        <f>VLOOKUP(E474,照明設備稼働時間!$A$4:$E$31,5,FALSE)</f>
        <v>2299</v>
      </c>
      <c r="L474" s="32" t="str">
        <f t="shared" si="14"/>
        <v>FHF32W1階段灯　非常灯付</v>
      </c>
      <c r="M474" s="14">
        <f>VLOOKUP(L474,照明器具一覧!$B$4:$F$129,5,FALSE)</f>
        <v>36</v>
      </c>
      <c r="N474" s="14">
        <v>1</v>
      </c>
      <c r="O474" s="142">
        <f t="shared" si="15"/>
        <v>82.763999999999996</v>
      </c>
    </row>
    <row r="475" spans="1:15">
      <c r="A475" s="2" t="s">
        <v>1096</v>
      </c>
      <c r="B475" s="78" t="s">
        <v>1499</v>
      </c>
      <c r="C475" s="2" t="s">
        <v>20</v>
      </c>
      <c r="D475" s="2" t="s">
        <v>16</v>
      </c>
      <c r="E475" s="2" t="s">
        <v>44</v>
      </c>
      <c r="F475" s="2" t="s">
        <v>37</v>
      </c>
      <c r="G475" s="2" t="s">
        <v>21</v>
      </c>
      <c r="H475" s="5">
        <v>1</v>
      </c>
      <c r="I475" s="2" t="s">
        <v>91</v>
      </c>
      <c r="J475" s="2">
        <v>2</v>
      </c>
      <c r="K475" s="32">
        <f>VLOOKUP(E475,照明設備稼働時間!$A$4:$E$31,5,FALSE)</f>
        <v>242</v>
      </c>
      <c r="L475" s="32" t="str">
        <f t="shared" si="14"/>
        <v>FHF32W1逆富士</v>
      </c>
      <c r="M475" s="14">
        <f>VLOOKUP(L475,照明器具一覧!$B$4:$F$129,5,FALSE)</f>
        <v>36</v>
      </c>
      <c r="N475" s="14">
        <v>1</v>
      </c>
      <c r="O475" s="142">
        <f t="shared" si="15"/>
        <v>17.423999999999999</v>
      </c>
    </row>
    <row r="476" spans="1:15">
      <c r="A476" s="2" t="s">
        <v>1097</v>
      </c>
      <c r="B476" s="78" t="s">
        <v>1499</v>
      </c>
      <c r="C476" s="2" t="s">
        <v>85</v>
      </c>
      <c r="D476" s="2" t="s">
        <v>16</v>
      </c>
      <c r="E476" s="2" t="s">
        <v>1507</v>
      </c>
      <c r="F476" s="2" t="s">
        <v>38</v>
      </c>
      <c r="G476" s="2" t="s">
        <v>21</v>
      </c>
      <c r="H476" s="5">
        <v>1</v>
      </c>
      <c r="I476" s="2" t="s">
        <v>92</v>
      </c>
      <c r="J476" s="2">
        <v>1</v>
      </c>
      <c r="K476" s="32">
        <f>VLOOKUP(E476,照明設備稼働時間!$A$4:$E$31,5,FALSE)</f>
        <v>0</v>
      </c>
      <c r="L476" s="32" t="str">
        <f t="shared" si="14"/>
        <v>FHF32W1片反射笠付</v>
      </c>
      <c r="M476" s="14">
        <f>VLOOKUP(L476,照明器具一覧!$B$4:$F$129,5,FALSE)</f>
        <v>36</v>
      </c>
      <c r="N476" s="14">
        <v>1</v>
      </c>
      <c r="O476" s="142">
        <f t="shared" si="15"/>
        <v>0</v>
      </c>
    </row>
    <row r="477" spans="1:15">
      <c r="A477" s="2" t="s">
        <v>1098</v>
      </c>
      <c r="B477" s="78" t="s">
        <v>1499</v>
      </c>
      <c r="C477" s="2" t="s">
        <v>86</v>
      </c>
      <c r="D477" s="2" t="s">
        <v>16</v>
      </c>
      <c r="E477" s="2" t="s">
        <v>601</v>
      </c>
      <c r="F477" s="2" t="s">
        <v>39</v>
      </c>
      <c r="G477" s="2" t="s">
        <v>19</v>
      </c>
      <c r="H477" s="5">
        <v>1</v>
      </c>
      <c r="I477" s="2" t="s">
        <v>93</v>
      </c>
      <c r="J477" s="2">
        <v>1</v>
      </c>
      <c r="K477" s="32">
        <f>VLOOKUP(E477,照明設備稼働時間!$A$4:$E$31,5,FALSE)</f>
        <v>2299</v>
      </c>
      <c r="L477" s="32" t="str">
        <f t="shared" si="14"/>
        <v>FHF16W1埋込　高出力</v>
      </c>
      <c r="M477" s="14">
        <f>VLOOKUP(L477,照明器具一覧!$B$4:$F$129,5,FALSE)</f>
        <v>26</v>
      </c>
      <c r="N477" s="14">
        <v>0.33</v>
      </c>
      <c r="O477" s="142">
        <f t="shared" si="15"/>
        <v>19.725420000000003</v>
      </c>
    </row>
    <row r="478" spans="1:15">
      <c r="A478" s="2" t="s">
        <v>1099</v>
      </c>
      <c r="B478" s="78" t="s">
        <v>1499</v>
      </c>
      <c r="C478" s="2" t="s">
        <v>81</v>
      </c>
      <c r="D478" s="2" t="s">
        <v>16</v>
      </c>
      <c r="E478" s="2" t="s">
        <v>600</v>
      </c>
      <c r="F478" s="2" t="s">
        <v>40</v>
      </c>
      <c r="G478" s="2" t="s">
        <v>21</v>
      </c>
      <c r="H478" s="5">
        <v>2</v>
      </c>
      <c r="I478" s="2" t="s">
        <v>56</v>
      </c>
      <c r="J478" s="2">
        <v>8</v>
      </c>
      <c r="K478" s="32">
        <f>VLOOKUP(E478,照明設備稼働時間!$A$4:$E$31,5,FALSE)</f>
        <v>2299</v>
      </c>
      <c r="L478" s="32" t="str">
        <f t="shared" si="14"/>
        <v>FHF32W2システム天井</v>
      </c>
      <c r="M478" s="14">
        <f>VLOOKUP(L478,照明器具一覧!$B$4:$F$129,5,FALSE)</f>
        <v>72</v>
      </c>
      <c r="N478" s="14">
        <v>1</v>
      </c>
      <c r="O478" s="142">
        <f t="shared" si="15"/>
        <v>1324.2239999999999</v>
      </c>
    </row>
    <row r="479" spans="1:15">
      <c r="A479" s="2" t="s">
        <v>1100</v>
      </c>
      <c r="B479" s="78" t="s">
        <v>1499</v>
      </c>
      <c r="C479" s="2" t="s">
        <v>81</v>
      </c>
      <c r="D479" s="2" t="s">
        <v>16</v>
      </c>
      <c r="E479" s="2" t="s">
        <v>600</v>
      </c>
      <c r="F479" s="2" t="s">
        <v>41</v>
      </c>
      <c r="G479" s="2" t="s">
        <v>21</v>
      </c>
      <c r="H479" s="5">
        <v>2</v>
      </c>
      <c r="I479" s="2" t="s">
        <v>56</v>
      </c>
      <c r="J479" s="2">
        <v>6</v>
      </c>
      <c r="K479" s="32">
        <f>VLOOKUP(E479,照明設備稼働時間!$A$4:$E$31,5,FALSE)</f>
        <v>2299</v>
      </c>
      <c r="L479" s="32" t="str">
        <f t="shared" si="14"/>
        <v>FHF32W2システム天井</v>
      </c>
      <c r="M479" s="14">
        <f>VLOOKUP(L479,照明器具一覧!$B$4:$F$129,5,FALSE)</f>
        <v>72</v>
      </c>
      <c r="N479" s="14">
        <v>1</v>
      </c>
      <c r="O479" s="142">
        <f t="shared" si="15"/>
        <v>993.16800000000001</v>
      </c>
    </row>
    <row r="480" spans="1:15">
      <c r="A480" s="2" t="s">
        <v>1101</v>
      </c>
      <c r="B480" s="78" t="s">
        <v>1499</v>
      </c>
      <c r="C480" s="2" t="s">
        <v>81</v>
      </c>
      <c r="D480" s="2" t="s">
        <v>16</v>
      </c>
      <c r="E480" s="2" t="s">
        <v>600</v>
      </c>
      <c r="F480" s="2" t="s">
        <v>42</v>
      </c>
      <c r="G480" s="2" t="s">
        <v>21</v>
      </c>
      <c r="H480" s="5">
        <v>2</v>
      </c>
      <c r="I480" s="2" t="s">
        <v>56</v>
      </c>
      <c r="J480" s="2">
        <v>20</v>
      </c>
      <c r="K480" s="32">
        <f>VLOOKUP(E480,照明設備稼働時間!$A$4:$E$31,5,FALSE)</f>
        <v>2299</v>
      </c>
      <c r="L480" s="32" t="str">
        <f t="shared" si="14"/>
        <v>FHF32W2システム天井</v>
      </c>
      <c r="M480" s="14">
        <f>VLOOKUP(L480,照明器具一覧!$B$4:$F$129,5,FALSE)</f>
        <v>72</v>
      </c>
      <c r="N480" s="14">
        <v>1</v>
      </c>
      <c r="O480" s="142">
        <f t="shared" si="15"/>
        <v>3310.56</v>
      </c>
    </row>
    <row r="481" spans="1:15">
      <c r="A481" s="2" t="s">
        <v>1102</v>
      </c>
      <c r="B481" s="78" t="s">
        <v>1499</v>
      </c>
      <c r="C481" s="2" t="s">
        <v>81</v>
      </c>
      <c r="D481" s="2" t="s">
        <v>16</v>
      </c>
      <c r="E481" s="2" t="s">
        <v>600</v>
      </c>
      <c r="F481" s="2" t="s">
        <v>43</v>
      </c>
      <c r="G481" s="2" t="s">
        <v>21</v>
      </c>
      <c r="H481" s="5">
        <v>2</v>
      </c>
      <c r="I481" s="2" t="s">
        <v>56</v>
      </c>
      <c r="J481" s="2">
        <v>24</v>
      </c>
      <c r="K481" s="32">
        <f>VLOOKUP(E481,照明設備稼働時間!$A$4:$E$31,5,FALSE)</f>
        <v>2299</v>
      </c>
      <c r="L481" s="32" t="str">
        <f t="shared" si="14"/>
        <v>FHF32W2システム天井</v>
      </c>
      <c r="M481" s="14">
        <f>VLOOKUP(L481,照明器具一覧!$B$4:$F$129,5,FALSE)</f>
        <v>72</v>
      </c>
      <c r="N481" s="14">
        <v>1</v>
      </c>
      <c r="O481" s="142">
        <f t="shared" si="15"/>
        <v>3972.672</v>
      </c>
    </row>
    <row r="482" spans="1:15">
      <c r="A482" s="2" t="s">
        <v>1103</v>
      </c>
      <c r="B482" s="78" t="s">
        <v>1499</v>
      </c>
      <c r="C482" s="2" t="s">
        <v>82</v>
      </c>
      <c r="D482" s="2" t="s">
        <v>16</v>
      </c>
      <c r="E482" s="2" t="s">
        <v>606</v>
      </c>
      <c r="F482" s="2" t="s">
        <v>34</v>
      </c>
      <c r="G482" s="2" t="s">
        <v>21</v>
      </c>
      <c r="H482" s="5">
        <v>1</v>
      </c>
      <c r="I482" s="2" t="s">
        <v>88</v>
      </c>
      <c r="J482" s="2">
        <v>5</v>
      </c>
      <c r="K482" s="32">
        <f>VLOOKUP(E482,照明設備稼働時間!$A$4:$E$31,5,FALSE)</f>
        <v>242</v>
      </c>
      <c r="L482" s="32" t="str">
        <f t="shared" si="14"/>
        <v>FHF32W1笠付</v>
      </c>
      <c r="M482" s="14">
        <f>VLOOKUP(L482,照明器具一覧!$B$4:$F$129,5,FALSE)</f>
        <v>36</v>
      </c>
      <c r="N482" s="14">
        <v>1</v>
      </c>
      <c r="O482" s="142">
        <f t="shared" si="15"/>
        <v>43.56</v>
      </c>
    </row>
    <row r="483" spans="1:15">
      <c r="A483" s="2" t="s">
        <v>1104</v>
      </c>
      <c r="B483" s="78" t="s">
        <v>1499</v>
      </c>
      <c r="C483" s="2"/>
      <c r="D483" s="2" t="s">
        <v>16</v>
      </c>
      <c r="E483" s="2" t="s">
        <v>606</v>
      </c>
      <c r="F483" s="2" t="s">
        <v>34</v>
      </c>
      <c r="G483" s="2" t="s">
        <v>21</v>
      </c>
      <c r="H483" s="5">
        <v>1</v>
      </c>
      <c r="I483" s="2"/>
      <c r="J483" s="2">
        <v>125</v>
      </c>
      <c r="K483" s="32">
        <f>VLOOKUP(E483,照明設備稼働時間!$A$4:$E$31,5,FALSE)</f>
        <v>242</v>
      </c>
      <c r="L483" s="32" t="str">
        <f t="shared" si="14"/>
        <v>FHF32W1</v>
      </c>
      <c r="M483" s="14">
        <f>VLOOKUP(L483,照明器具一覧!$B$4:$F$129,5,FALSE)</f>
        <v>36</v>
      </c>
      <c r="N483" s="14">
        <v>1</v>
      </c>
      <c r="O483" s="142">
        <f t="shared" si="15"/>
        <v>1089</v>
      </c>
    </row>
    <row r="484" spans="1:15">
      <c r="A484" s="2" t="s">
        <v>1105</v>
      </c>
      <c r="B484" s="78" t="s">
        <v>1499</v>
      </c>
      <c r="C484" s="2" t="s">
        <v>87</v>
      </c>
      <c r="D484" s="2" t="s">
        <v>16</v>
      </c>
      <c r="E484" s="2" t="s">
        <v>44</v>
      </c>
      <c r="F484" s="2" t="s">
        <v>44</v>
      </c>
      <c r="G484" s="2" t="s">
        <v>21</v>
      </c>
      <c r="H484" s="5">
        <v>2</v>
      </c>
      <c r="I484" s="2" t="s">
        <v>94</v>
      </c>
      <c r="J484" s="2">
        <v>10</v>
      </c>
      <c r="K484" s="32">
        <f>VLOOKUP(E484,照明設備稼働時間!$A$4:$E$31,5,FALSE)</f>
        <v>242</v>
      </c>
      <c r="L484" s="32" t="str">
        <f t="shared" si="14"/>
        <v>FHF32W2埋込　W300</v>
      </c>
      <c r="M484" s="14">
        <f>VLOOKUP(L484,照明器具一覧!$B$4:$F$129,5,FALSE)</f>
        <v>72</v>
      </c>
      <c r="N484" s="14">
        <v>1</v>
      </c>
      <c r="O484" s="142">
        <f t="shared" si="15"/>
        <v>174.24</v>
      </c>
    </row>
    <row r="485" spans="1:15">
      <c r="A485" s="2" t="s">
        <v>1106</v>
      </c>
      <c r="B485" s="78" t="s">
        <v>1499</v>
      </c>
      <c r="C485" s="2" t="s">
        <v>20</v>
      </c>
      <c r="D485" s="2" t="s">
        <v>16</v>
      </c>
      <c r="E485" s="2" t="s">
        <v>603</v>
      </c>
      <c r="F485" s="2" t="s">
        <v>58</v>
      </c>
      <c r="G485" s="2" t="s">
        <v>21</v>
      </c>
      <c r="H485" s="5">
        <v>1</v>
      </c>
      <c r="I485" s="2" t="s">
        <v>91</v>
      </c>
      <c r="J485" s="2">
        <v>1</v>
      </c>
      <c r="K485" s="32">
        <f>VLOOKUP(E485,照明設備稼働時間!$A$4:$E$31,5,FALSE)</f>
        <v>968</v>
      </c>
      <c r="L485" s="32" t="str">
        <f t="shared" si="14"/>
        <v>FHF32W1逆富士</v>
      </c>
      <c r="M485" s="14">
        <f>VLOOKUP(L485,照明器具一覧!$B$4:$F$129,5,FALSE)</f>
        <v>36</v>
      </c>
      <c r="N485" s="14">
        <v>1</v>
      </c>
      <c r="O485" s="142">
        <f t="shared" si="15"/>
        <v>34.847999999999999</v>
      </c>
    </row>
    <row r="486" spans="1:15">
      <c r="A486" s="2" t="s">
        <v>1107</v>
      </c>
      <c r="B486" s="78" t="s">
        <v>1499</v>
      </c>
      <c r="C486" s="2"/>
      <c r="D486" s="2" t="s">
        <v>16</v>
      </c>
      <c r="E486" s="2" t="s">
        <v>603</v>
      </c>
      <c r="F486" s="2" t="s">
        <v>58</v>
      </c>
      <c r="G486" s="2" t="s">
        <v>31</v>
      </c>
      <c r="H486" s="5">
        <v>1</v>
      </c>
      <c r="I486" s="2" t="s">
        <v>316</v>
      </c>
      <c r="J486" s="2">
        <v>3</v>
      </c>
      <c r="K486" s="32">
        <f>VLOOKUP(E486,照明設備稼働時間!$A$4:$E$31,5,FALSE)</f>
        <v>968</v>
      </c>
      <c r="L486" s="32" t="str">
        <f t="shared" si="14"/>
        <v>LED電球1レセップ</v>
      </c>
      <c r="M486" s="14">
        <f>VLOOKUP(L486,照明器具一覧!$B$4:$F$129,5,FALSE)</f>
        <v>4.5999999999999996</v>
      </c>
      <c r="N486" s="14">
        <v>0.66</v>
      </c>
      <c r="O486" s="142">
        <f t="shared" si="15"/>
        <v>8.8165440000000004</v>
      </c>
    </row>
    <row r="487" spans="1:15">
      <c r="A487" s="2" t="s">
        <v>1108</v>
      </c>
      <c r="B487" s="78" t="s">
        <v>1499</v>
      </c>
      <c r="C487" s="2" t="s">
        <v>20</v>
      </c>
      <c r="D487" s="2" t="s">
        <v>16</v>
      </c>
      <c r="E487" s="2" t="s">
        <v>603</v>
      </c>
      <c r="F487" s="2" t="s">
        <v>59</v>
      </c>
      <c r="G487" s="2" t="s">
        <v>21</v>
      </c>
      <c r="H487" s="5">
        <v>1</v>
      </c>
      <c r="I487" s="2" t="s">
        <v>91</v>
      </c>
      <c r="J487" s="2">
        <v>1</v>
      </c>
      <c r="K487" s="32">
        <f>VLOOKUP(E487,照明設備稼働時間!$A$4:$E$31,5,FALSE)</f>
        <v>968</v>
      </c>
      <c r="L487" s="32" t="str">
        <f t="shared" si="14"/>
        <v>FHF32W1逆富士</v>
      </c>
      <c r="M487" s="14">
        <f>VLOOKUP(L487,照明器具一覧!$B$4:$F$129,5,FALSE)</f>
        <v>36</v>
      </c>
      <c r="N487" s="14">
        <v>1</v>
      </c>
      <c r="O487" s="142">
        <f t="shared" si="15"/>
        <v>34.847999999999999</v>
      </c>
    </row>
    <row r="488" spans="1:15">
      <c r="A488" s="2" t="s">
        <v>1109</v>
      </c>
      <c r="B488" s="78" t="s">
        <v>1499</v>
      </c>
      <c r="C488" s="2"/>
      <c r="D488" s="2" t="s">
        <v>16</v>
      </c>
      <c r="E488" s="2" t="s">
        <v>603</v>
      </c>
      <c r="F488" s="2" t="s">
        <v>59</v>
      </c>
      <c r="G488" s="2" t="s">
        <v>31</v>
      </c>
      <c r="H488" s="5">
        <v>1</v>
      </c>
      <c r="I488" s="2" t="s">
        <v>316</v>
      </c>
      <c r="J488" s="2">
        <v>2</v>
      </c>
      <c r="K488" s="32">
        <f>VLOOKUP(E488,照明設備稼働時間!$A$4:$E$31,5,FALSE)</f>
        <v>968</v>
      </c>
      <c r="L488" s="32" t="str">
        <f t="shared" si="14"/>
        <v>LED電球1レセップ</v>
      </c>
      <c r="M488" s="14">
        <f>VLOOKUP(L488,照明器具一覧!$B$4:$F$129,5,FALSE)</f>
        <v>4.5999999999999996</v>
      </c>
      <c r="N488" s="14">
        <v>0.5</v>
      </c>
      <c r="O488" s="142">
        <f t="shared" si="15"/>
        <v>4.452799999999999</v>
      </c>
    </row>
    <row r="489" spans="1:15">
      <c r="A489" s="2" t="s">
        <v>1110</v>
      </c>
      <c r="B489" s="78" t="s">
        <v>1499</v>
      </c>
      <c r="C489" s="2" t="s">
        <v>28</v>
      </c>
      <c r="D489" s="2" t="s">
        <v>16</v>
      </c>
      <c r="E489" s="2" t="s">
        <v>601</v>
      </c>
      <c r="F489" s="2" t="s">
        <v>45</v>
      </c>
      <c r="G489" s="2" t="s">
        <v>21</v>
      </c>
      <c r="H489" s="5">
        <v>1</v>
      </c>
      <c r="I489" s="2" t="s">
        <v>90</v>
      </c>
      <c r="J489" s="2">
        <v>3</v>
      </c>
      <c r="K489" s="32">
        <f>VLOOKUP(E489,照明設備稼働時間!$A$4:$E$31,5,FALSE)</f>
        <v>2299</v>
      </c>
      <c r="L489" s="32" t="str">
        <f t="shared" si="14"/>
        <v>FHF32W1埋込　W190</v>
      </c>
      <c r="M489" s="14">
        <f>VLOOKUP(L489,照明器具一覧!$B$4:$F$129,5,FALSE)</f>
        <v>36</v>
      </c>
      <c r="N489" s="14">
        <v>0.33</v>
      </c>
      <c r="O489" s="142">
        <f t="shared" si="15"/>
        <v>81.936360000000008</v>
      </c>
    </row>
    <row r="490" spans="1:15">
      <c r="A490" s="2" t="s">
        <v>1111</v>
      </c>
      <c r="B490" s="78" t="s">
        <v>1499</v>
      </c>
      <c r="C490" s="2" t="s">
        <v>79</v>
      </c>
      <c r="D490" s="2" t="s">
        <v>16</v>
      </c>
      <c r="E490" s="2" t="s">
        <v>601</v>
      </c>
      <c r="F490" s="2" t="s">
        <v>46</v>
      </c>
      <c r="G490" s="2" t="s">
        <v>21</v>
      </c>
      <c r="H490" s="5">
        <v>1</v>
      </c>
      <c r="I490" s="2" t="s">
        <v>553</v>
      </c>
      <c r="J490" s="2">
        <v>1</v>
      </c>
      <c r="K490" s="32">
        <f>VLOOKUP(E490,照明設備稼働時間!$A$4:$E$31,5,FALSE)</f>
        <v>2299</v>
      </c>
      <c r="L490" s="32" t="str">
        <f t="shared" si="14"/>
        <v>FHF32W1階段灯　非常灯付</v>
      </c>
      <c r="M490" s="14">
        <f>VLOOKUP(L490,照明器具一覧!$B$4:$F$129,5,FALSE)</f>
        <v>36</v>
      </c>
      <c r="N490" s="14">
        <v>1</v>
      </c>
      <c r="O490" s="142">
        <f t="shared" si="15"/>
        <v>82.763999999999996</v>
      </c>
    </row>
    <row r="491" spans="1:15">
      <c r="A491" s="2" t="s">
        <v>1112</v>
      </c>
      <c r="B491" s="78" t="s">
        <v>1499</v>
      </c>
      <c r="C491" s="2" t="s">
        <v>80</v>
      </c>
      <c r="D491" s="2" t="s">
        <v>16</v>
      </c>
      <c r="E491" s="2" t="s">
        <v>601</v>
      </c>
      <c r="F491" s="2" t="s">
        <v>46</v>
      </c>
      <c r="G491" s="2" t="s">
        <v>21</v>
      </c>
      <c r="H491" s="5">
        <v>1</v>
      </c>
      <c r="I491" s="2" t="s">
        <v>553</v>
      </c>
      <c r="J491" s="2">
        <v>1</v>
      </c>
      <c r="K491" s="32">
        <f>VLOOKUP(E491,照明設備稼働時間!$A$4:$E$31,5,FALSE)</f>
        <v>2299</v>
      </c>
      <c r="L491" s="32" t="str">
        <f t="shared" si="14"/>
        <v>FHF32W1階段灯　非常灯付</v>
      </c>
      <c r="M491" s="14">
        <f>VLOOKUP(L491,照明器具一覧!$B$4:$F$129,5,FALSE)</f>
        <v>36</v>
      </c>
      <c r="N491" s="14">
        <v>1</v>
      </c>
      <c r="O491" s="142">
        <f t="shared" si="15"/>
        <v>82.763999999999996</v>
      </c>
    </row>
    <row r="492" spans="1:15">
      <c r="A492" s="2" t="s">
        <v>1113</v>
      </c>
      <c r="B492" s="78" t="s">
        <v>1499</v>
      </c>
      <c r="C492" s="2" t="s">
        <v>20</v>
      </c>
      <c r="D492" s="2" t="s">
        <v>16</v>
      </c>
      <c r="E492" s="29" t="s">
        <v>1513</v>
      </c>
      <c r="F492" s="2" t="s">
        <v>60</v>
      </c>
      <c r="G492" s="2" t="s">
        <v>21</v>
      </c>
      <c r="H492" s="5">
        <v>1</v>
      </c>
      <c r="I492" s="2" t="s">
        <v>91</v>
      </c>
      <c r="J492" s="2">
        <v>1</v>
      </c>
      <c r="K492" s="32">
        <f>VLOOKUP(E492,照明設備稼働時間!$A$4:$E$31,5,FALSE)</f>
        <v>484</v>
      </c>
      <c r="L492" s="32" t="str">
        <f t="shared" si="14"/>
        <v>FHF32W1逆富士</v>
      </c>
      <c r="M492" s="14">
        <f>VLOOKUP(L492,照明器具一覧!$B$4:$F$129,5,FALSE)</f>
        <v>36</v>
      </c>
      <c r="N492" s="14">
        <v>1</v>
      </c>
      <c r="O492" s="142">
        <f t="shared" si="15"/>
        <v>17.423999999999999</v>
      </c>
    </row>
    <row r="493" spans="1:15">
      <c r="A493" s="2" t="s">
        <v>1114</v>
      </c>
      <c r="B493" s="78" t="s">
        <v>1499</v>
      </c>
      <c r="C493" s="2" t="s">
        <v>20</v>
      </c>
      <c r="D493" s="2" t="s">
        <v>16</v>
      </c>
      <c r="E493" s="2" t="s">
        <v>44</v>
      </c>
      <c r="F493" s="2" t="s">
        <v>47</v>
      </c>
      <c r="G493" s="2" t="s">
        <v>21</v>
      </c>
      <c r="H493" s="5">
        <v>1</v>
      </c>
      <c r="I493" s="2" t="s">
        <v>91</v>
      </c>
      <c r="J493" s="2">
        <v>1</v>
      </c>
      <c r="K493" s="32">
        <f>VLOOKUP(E493,照明設備稼働時間!$A$4:$E$31,5,FALSE)</f>
        <v>242</v>
      </c>
      <c r="L493" s="32" t="str">
        <f t="shared" si="14"/>
        <v>FHF32W1逆富士</v>
      </c>
      <c r="M493" s="14">
        <f>VLOOKUP(L493,照明器具一覧!$B$4:$F$129,5,FALSE)</f>
        <v>36</v>
      </c>
      <c r="N493" s="14">
        <v>1</v>
      </c>
      <c r="O493" s="142">
        <f t="shared" si="15"/>
        <v>8.7119999999999997</v>
      </c>
    </row>
    <row r="494" spans="1:15">
      <c r="A494" s="2" t="s">
        <v>1115</v>
      </c>
      <c r="B494" s="78" t="s">
        <v>1499</v>
      </c>
      <c r="C494" s="2" t="s">
        <v>78</v>
      </c>
      <c r="D494" s="2" t="s">
        <v>16</v>
      </c>
      <c r="E494" s="2" t="s">
        <v>1507</v>
      </c>
      <c r="F494" s="2" t="s">
        <v>61</v>
      </c>
      <c r="G494" s="2" t="s">
        <v>19</v>
      </c>
      <c r="H494" s="5">
        <v>1</v>
      </c>
      <c r="I494" s="2" t="s">
        <v>95</v>
      </c>
      <c r="J494" s="2">
        <v>1</v>
      </c>
      <c r="K494" s="32">
        <f>VLOOKUP(E494,照明設備稼働時間!$A$4:$E$31,5,FALSE)</f>
        <v>0</v>
      </c>
      <c r="L494" s="32" t="str">
        <f t="shared" si="14"/>
        <v>FHF16W1片反射笠付(高出力)</v>
      </c>
      <c r="M494" s="14">
        <f>VLOOKUP(L494,照明器具一覧!$B$4:$F$129,5,FALSE)</f>
        <v>26</v>
      </c>
      <c r="N494" s="14">
        <v>1</v>
      </c>
      <c r="O494" s="142">
        <f t="shared" si="15"/>
        <v>0</v>
      </c>
    </row>
    <row r="495" spans="1:15">
      <c r="A495" s="2" t="s">
        <v>1116</v>
      </c>
      <c r="B495" s="78" t="s">
        <v>1499</v>
      </c>
      <c r="C495" s="2" t="s">
        <v>81</v>
      </c>
      <c r="D495" s="2" t="s">
        <v>16</v>
      </c>
      <c r="E495" s="2" t="s">
        <v>600</v>
      </c>
      <c r="F495" s="2" t="s">
        <v>48</v>
      </c>
      <c r="G495" s="2" t="s">
        <v>21</v>
      </c>
      <c r="H495" s="5">
        <v>2</v>
      </c>
      <c r="I495" s="2" t="s">
        <v>56</v>
      </c>
      <c r="J495" s="2">
        <v>9</v>
      </c>
      <c r="K495" s="32">
        <f>VLOOKUP(E495,照明設備稼働時間!$A$4:$E$31,5,FALSE)</f>
        <v>2299</v>
      </c>
      <c r="L495" s="32" t="str">
        <f t="shared" si="14"/>
        <v>FHF32W2システム天井</v>
      </c>
      <c r="M495" s="14">
        <f>VLOOKUP(L495,照明器具一覧!$B$4:$F$129,5,FALSE)</f>
        <v>72</v>
      </c>
      <c r="N495" s="14">
        <v>1</v>
      </c>
      <c r="O495" s="142">
        <f t="shared" si="15"/>
        <v>1489.752</v>
      </c>
    </row>
    <row r="496" spans="1:15">
      <c r="A496" s="2" t="s">
        <v>1117</v>
      </c>
      <c r="B496" s="78" t="s">
        <v>1499</v>
      </c>
      <c r="C496" s="2" t="s">
        <v>81</v>
      </c>
      <c r="D496" s="2" t="s">
        <v>16</v>
      </c>
      <c r="E496" s="2" t="s">
        <v>600</v>
      </c>
      <c r="F496" s="2" t="s">
        <v>62</v>
      </c>
      <c r="G496" s="2" t="s">
        <v>21</v>
      </c>
      <c r="H496" s="5">
        <v>2</v>
      </c>
      <c r="I496" s="2" t="s">
        <v>56</v>
      </c>
      <c r="J496" s="2">
        <v>50</v>
      </c>
      <c r="K496" s="32">
        <f>VLOOKUP(E496,照明設備稼働時間!$A$4:$E$31,5,FALSE)</f>
        <v>2299</v>
      </c>
      <c r="L496" s="32" t="str">
        <f t="shared" si="14"/>
        <v>FHF32W2システム天井</v>
      </c>
      <c r="M496" s="14">
        <f>VLOOKUP(L496,照明器具一覧!$B$4:$F$129,5,FALSE)</f>
        <v>72</v>
      </c>
      <c r="N496" s="14">
        <v>1</v>
      </c>
      <c r="O496" s="142">
        <f t="shared" si="15"/>
        <v>8276.4</v>
      </c>
    </row>
    <row r="497" spans="1:15">
      <c r="A497" s="2" t="s">
        <v>1118</v>
      </c>
      <c r="B497" s="78" t="s">
        <v>1499</v>
      </c>
      <c r="C497" s="2" t="s">
        <v>82</v>
      </c>
      <c r="D497" s="2" t="s">
        <v>16</v>
      </c>
      <c r="E497" s="2" t="s">
        <v>606</v>
      </c>
      <c r="F497" s="2" t="s">
        <v>63</v>
      </c>
      <c r="G497" s="2" t="s">
        <v>21</v>
      </c>
      <c r="H497" s="5">
        <v>1</v>
      </c>
      <c r="I497" s="2" t="s">
        <v>88</v>
      </c>
      <c r="J497" s="2">
        <v>2</v>
      </c>
      <c r="K497" s="32">
        <f>VLOOKUP(E497,照明設備稼働時間!$A$4:$E$31,5,FALSE)</f>
        <v>242</v>
      </c>
      <c r="L497" s="32" t="str">
        <f t="shared" si="14"/>
        <v>FHF32W1笠付</v>
      </c>
      <c r="M497" s="14">
        <f>VLOOKUP(L497,照明器具一覧!$B$4:$F$129,5,FALSE)</f>
        <v>36</v>
      </c>
      <c r="N497" s="14">
        <v>1</v>
      </c>
      <c r="O497" s="142">
        <f t="shared" si="15"/>
        <v>17.423999999999999</v>
      </c>
    </row>
    <row r="498" spans="1:15">
      <c r="A498" s="2" t="s">
        <v>1119</v>
      </c>
      <c r="B498" s="78" t="s">
        <v>1499</v>
      </c>
      <c r="C498" s="2" t="s">
        <v>85</v>
      </c>
      <c r="D498" s="2" t="s">
        <v>16</v>
      </c>
      <c r="E498" s="2" t="s">
        <v>1507</v>
      </c>
      <c r="F498" s="2" t="s">
        <v>64</v>
      </c>
      <c r="G498" s="2" t="s">
        <v>21</v>
      </c>
      <c r="H498" s="5">
        <v>1</v>
      </c>
      <c r="I498" s="2" t="s">
        <v>96</v>
      </c>
      <c r="J498" s="2">
        <v>1</v>
      </c>
      <c r="K498" s="32">
        <f>VLOOKUP(E498,照明設備稼働時間!$A$4:$E$31,5,FALSE)</f>
        <v>0</v>
      </c>
      <c r="L498" s="32" t="str">
        <f t="shared" si="14"/>
        <v>FHF32W1片反射笠付</v>
      </c>
      <c r="M498" s="14">
        <f>VLOOKUP(L498,照明器具一覧!$B$4:$F$129,5,FALSE)</f>
        <v>36</v>
      </c>
      <c r="N498" s="14">
        <v>1</v>
      </c>
      <c r="O498" s="142">
        <f t="shared" si="15"/>
        <v>0</v>
      </c>
    </row>
    <row r="499" spans="1:15">
      <c r="A499" s="2" t="s">
        <v>1120</v>
      </c>
      <c r="B499" s="78" t="s">
        <v>1499</v>
      </c>
      <c r="C499" s="2" t="s">
        <v>86</v>
      </c>
      <c r="D499" s="2" t="s">
        <v>16</v>
      </c>
      <c r="E499" s="2" t="s">
        <v>601</v>
      </c>
      <c r="F499" s="2" t="s">
        <v>49</v>
      </c>
      <c r="G499" s="2" t="s">
        <v>19</v>
      </c>
      <c r="H499" s="5">
        <v>1</v>
      </c>
      <c r="I499" s="2" t="s">
        <v>93</v>
      </c>
      <c r="J499" s="2">
        <v>1</v>
      </c>
      <c r="K499" s="32">
        <f>VLOOKUP(E499,照明設備稼働時間!$A$4:$E$31,5,FALSE)</f>
        <v>2299</v>
      </c>
      <c r="L499" s="32" t="str">
        <f t="shared" si="14"/>
        <v>FHF16W1埋込　高出力</v>
      </c>
      <c r="M499" s="14">
        <f>VLOOKUP(L499,照明器具一覧!$B$4:$F$129,5,FALSE)</f>
        <v>26</v>
      </c>
      <c r="N499" s="14">
        <v>0.33</v>
      </c>
      <c r="O499" s="142">
        <f t="shared" si="15"/>
        <v>19.725420000000003</v>
      </c>
    </row>
    <row r="500" spans="1:15">
      <c r="A500" s="2" t="s">
        <v>1121</v>
      </c>
      <c r="B500" s="78" t="s">
        <v>1499</v>
      </c>
      <c r="C500" s="2" t="s">
        <v>28</v>
      </c>
      <c r="D500" s="2" t="s">
        <v>16</v>
      </c>
      <c r="E500" s="2" t="s">
        <v>1508</v>
      </c>
      <c r="F500" s="2" t="s">
        <v>65</v>
      </c>
      <c r="G500" s="2" t="s">
        <v>21</v>
      </c>
      <c r="H500" s="5">
        <v>1</v>
      </c>
      <c r="I500" s="2" t="s">
        <v>90</v>
      </c>
      <c r="J500" s="2">
        <v>2</v>
      </c>
      <c r="K500" s="32">
        <f>VLOOKUP(E500,照明設備稼働時間!$A$4:$E$31,5,FALSE)</f>
        <v>8760</v>
      </c>
      <c r="L500" s="32" t="str">
        <f t="shared" si="14"/>
        <v>FHF32W1埋込　W190</v>
      </c>
      <c r="M500" s="14">
        <f>VLOOKUP(L500,照明器具一覧!$B$4:$F$129,5,FALSE)</f>
        <v>36</v>
      </c>
      <c r="N500" s="14">
        <v>1</v>
      </c>
      <c r="O500" s="142">
        <f t="shared" si="15"/>
        <v>630.72</v>
      </c>
    </row>
    <row r="501" spans="1:15">
      <c r="A501" s="2" t="s">
        <v>1122</v>
      </c>
      <c r="B501" s="78" t="s">
        <v>1499</v>
      </c>
      <c r="C501" s="2"/>
      <c r="D501" s="2" t="s">
        <v>16</v>
      </c>
      <c r="E501" s="2" t="s">
        <v>1508</v>
      </c>
      <c r="F501" s="2" t="s">
        <v>65</v>
      </c>
      <c r="G501" s="2" t="s">
        <v>72</v>
      </c>
      <c r="H501" s="5">
        <v>1</v>
      </c>
      <c r="I501" s="2" t="s">
        <v>73</v>
      </c>
      <c r="J501" s="2">
        <v>1</v>
      </c>
      <c r="K501" s="32">
        <f>VLOOKUP(E501,照明設備稼働時間!$A$4:$E$31,5,FALSE)</f>
        <v>8760</v>
      </c>
      <c r="L501" s="32" t="str">
        <f t="shared" si="14"/>
        <v>IL60W1ダウンライト</v>
      </c>
      <c r="M501" s="14">
        <f>VLOOKUP(L501,照明器具一覧!$B$4:$F$129,5,FALSE)</f>
        <v>60</v>
      </c>
      <c r="N501" s="14">
        <v>1</v>
      </c>
      <c r="O501" s="142">
        <f t="shared" si="15"/>
        <v>525.6</v>
      </c>
    </row>
    <row r="502" spans="1:15">
      <c r="A502" s="2" t="s">
        <v>1123</v>
      </c>
      <c r="B502" s="78" t="s">
        <v>1499</v>
      </c>
      <c r="C502" s="2" t="s">
        <v>79</v>
      </c>
      <c r="D502" s="2" t="s">
        <v>16</v>
      </c>
      <c r="E502" s="2" t="s">
        <v>601</v>
      </c>
      <c r="F502" s="2" t="s">
        <v>50</v>
      </c>
      <c r="G502" s="2" t="s">
        <v>21</v>
      </c>
      <c r="H502" s="5">
        <v>1</v>
      </c>
      <c r="I502" s="2" t="s">
        <v>553</v>
      </c>
      <c r="J502" s="2">
        <v>1</v>
      </c>
      <c r="K502" s="32">
        <f>VLOOKUP(E502,照明設備稼働時間!$A$4:$E$31,5,FALSE)</f>
        <v>2299</v>
      </c>
      <c r="L502" s="32" t="str">
        <f t="shared" si="14"/>
        <v>FHF32W1階段灯　非常灯付</v>
      </c>
      <c r="M502" s="14">
        <f>VLOOKUP(L502,照明器具一覧!$B$4:$F$129,5,FALSE)</f>
        <v>36</v>
      </c>
      <c r="N502" s="14">
        <v>1</v>
      </c>
      <c r="O502" s="142">
        <f t="shared" si="15"/>
        <v>82.763999999999996</v>
      </c>
    </row>
    <row r="503" spans="1:15">
      <c r="A503" s="2" t="s">
        <v>1124</v>
      </c>
      <c r="B503" s="78" t="s">
        <v>1499</v>
      </c>
      <c r="C503" s="2" t="s">
        <v>80</v>
      </c>
      <c r="D503" s="2" t="s">
        <v>16</v>
      </c>
      <c r="E503" s="2" t="s">
        <v>601</v>
      </c>
      <c r="F503" s="2" t="s">
        <v>50</v>
      </c>
      <c r="G503" s="2" t="s">
        <v>21</v>
      </c>
      <c r="H503" s="5">
        <v>1</v>
      </c>
      <c r="I503" s="2" t="s">
        <v>553</v>
      </c>
      <c r="J503" s="2">
        <v>1</v>
      </c>
      <c r="K503" s="32">
        <f>VLOOKUP(E503,照明設備稼働時間!$A$4:$E$31,5,FALSE)</f>
        <v>2299</v>
      </c>
      <c r="L503" s="32" t="str">
        <f t="shared" si="14"/>
        <v>FHF32W1階段灯　非常灯付</v>
      </c>
      <c r="M503" s="14">
        <f>VLOOKUP(L503,照明器具一覧!$B$4:$F$129,5,FALSE)</f>
        <v>36</v>
      </c>
      <c r="N503" s="14">
        <v>1</v>
      </c>
      <c r="O503" s="142">
        <f t="shared" si="15"/>
        <v>82.763999999999996</v>
      </c>
    </row>
    <row r="504" spans="1:15">
      <c r="A504" s="2" t="s">
        <v>1125</v>
      </c>
      <c r="B504" s="78" t="s">
        <v>1499</v>
      </c>
      <c r="C504" s="2" t="s">
        <v>81</v>
      </c>
      <c r="D504" s="2" t="s">
        <v>16</v>
      </c>
      <c r="E504" s="2" t="s">
        <v>600</v>
      </c>
      <c r="F504" s="2" t="s">
        <v>51</v>
      </c>
      <c r="G504" s="2" t="s">
        <v>21</v>
      </c>
      <c r="H504" s="5">
        <v>2</v>
      </c>
      <c r="I504" s="2" t="s">
        <v>56</v>
      </c>
      <c r="J504" s="2">
        <v>4</v>
      </c>
      <c r="K504" s="32">
        <f>VLOOKUP(E504,照明設備稼働時間!$A$4:$E$31,5,FALSE)</f>
        <v>2299</v>
      </c>
      <c r="L504" s="32" t="str">
        <f t="shared" si="14"/>
        <v>FHF32W2システム天井</v>
      </c>
      <c r="M504" s="14">
        <f>VLOOKUP(L504,照明器具一覧!$B$4:$F$129,5,FALSE)</f>
        <v>72</v>
      </c>
      <c r="N504" s="14">
        <v>1</v>
      </c>
      <c r="O504" s="142">
        <f t="shared" si="15"/>
        <v>662.11199999999997</v>
      </c>
    </row>
    <row r="505" spans="1:15">
      <c r="A505" s="2" t="s">
        <v>1126</v>
      </c>
      <c r="B505" s="78" t="s">
        <v>1499</v>
      </c>
      <c r="C505" s="2" t="s">
        <v>81</v>
      </c>
      <c r="D505" s="2" t="s">
        <v>16</v>
      </c>
      <c r="E505" s="2" t="s">
        <v>600</v>
      </c>
      <c r="F505" s="2" t="s">
        <v>52</v>
      </c>
      <c r="G505" s="2" t="s">
        <v>21</v>
      </c>
      <c r="H505" s="5">
        <v>2</v>
      </c>
      <c r="I505" s="2" t="s">
        <v>56</v>
      </c>
      <c r="J505" s="2">
        <v>4</v>
      </c>
      <c r="K505" s="32">
        <f>VLOOKUP(E505,照明設備稼働時間!$A$4:$E$31,5,FALSE)</f>
        <v>2299</v>
      </c>
      <c r="L505" s="32" t="str">
        <f t="shared" si="14"/>
        <v>FHF32W2システム天井</v>
      </c>
      <c r="M505" s="14">
        <f>VLOOKUP(L505,照明器具一覧!$B$4:$F$129,5,FALSE)</f>
        <v>72</v>
      </c>
      <c r="N505" s="14">
        <v>1</v>
      </c>
      <c r="O505" s="142">
        <f t="shared" si="15"/>
        <v>662.11199999999997</v>
      </c>
    </row>
    <row r="506" spans="1:15">
      <c r="A506" s="2" t="s">
        <v>1127</v>
      </c>
      <c r="B506" s="78" t="s">
        <v>1499</v>
      </c>
      <c r="C506" s="2" t="s">
        <v>81</v>
      </c>
      <c r="D506" s="2" t="s">
        <v>16</v>
      </c>
      <c r="E506" s="2" t="s">
        <v>600</v>
      </c>
      <c r="F506" s="2" t="s">
        <v>53</v>
      </c>
      <c r="G506" s="2" t="s">
        <v>21</v>
      </c>
      <c r="H506" s="5">
        <v>2</v>
      </c>
      <c r="I506" s="2" t="s">
        <v>56</v>
      </c>
      <c r="J506" s="2">
        <v>96</v>
      </c>
      <c r="K506" s="32">
        <f>VLOOKUP(E506,照明設備稼働時間!$A$4:$E$31,5,FALSE)</f>
        <v>2299</v>
      </c>
      <c r="L506" s="32" t="str">
        <f t="shared" si="14"/>
        <v>FHF32W2システム天井</v>
      </c>
      <c r="M506" s="14">
        <f>VLOOKUP(L506,照明器具一覧!$B$4:$F$129,5,FALSE)</f>
        <v>72</v>
      </c>
      <c r="N506" s="14">
        <v>1</v>
      </c>
      <c r="O506" s="142">
        <f t="shared" si="15"/>
        <v>15890.688</v>
      </c>
    </row>
    <row r="507" spans="1:15">
      <c r="A507" s="2" t="s">
        <v>1128</v>
      </c>
      <c r="B507" s="78" t="s">
        <v>1499</v>
      </c>
      <c r="C507" s="2" t="s">
        <v>81</v>
      </c>
      <c r="D507" s="2" t="s">
        <v>16</v>
      </c>
      <c r="E507" s="2" t="s">
        <v>600</v>
      </c>
      <c r="F507" s="2" t="s">
        <v>54</v>
      </c>
      <c r="G507" s="2" t="s">
        <v>21</v>
      </c>
      <c r="H507" s="5">
        <v>2</v>
      </c>
      <c r="I507" s="2" t="s">
        <v>56</v>
      </c>
      <c r="J507" s="2">
        <v>2</v>
      </c>
      <c r="K507" s="32">
        <f>VLOOKUP(E507,照明設備稼働時間!$A$4:$E$31,5,FALSE)</f>
        <v>2299</v>
      </c>
      <c r="L507" s="32" t="str">
        <f t="shared" si="14"/>
        <v>FHF32W2システム天井</v>
      </c>
      <c r="M507" s="14">
        <f>VLOOKUP(L507,照明器具一覧!$B$4:$F$129,5,FALSE)</f>
        <v>72</v>
      </c>
      <c r="N507" s="14">
        <v>1</v>
      </c>
      <c r="O507" s="142">
        <f t="shared" si="15"/>
        <v>331.05599999999998</v>
      </c>
    </row>
    <row r="508" spans="1:15">
      <c r="A508" s="2" t="s">
        <v>1129</v>
      </c>
      <c r="B508" s="78" t="s">
        <v>1499</v>
      </c>
      <c r="C508" s="2" t="s">
        <v>81</v>
      </c>
      <c r="D508" s="2" t="s">
        <v>16</v>
      </c>
      <c r="E508" s="2" t="s">
        <v>600</v>
      </c>
      <c r="F508" s="2" t="s">
        <v>55</v>
      </c>
      <c r="G508" s="2" t="s">
        <v>21</v>
      </c>
      <c r="H508" s="5">
        <v>2</v>
      </c>
      <c r="I508" s="2" t="s">
        <v>56</v>
      </c>
      <c r="J508" s="2">
        <v>6</v>
      </c>
      <c r="K508" s="32">
        <f>VLOOKUP(E508,照明設備稼働時間!$A$4:$E$31,5,FALSE)</f>
        <v>2299</v>
      </c>
      <c r="L508" s="32" t="str">
        <f t="shared" si="14"/>
        <v>FHF32W2システム天井</v>
      </c>
      <c r="M508" s="14">
        <f>VLOOKUP(L508,照明器具一覧!$B$4:$F$129,5,FALSE)</f>
        <v>72</v>
      </c>
      <c r="N508" s="14">
        <v>1</v>
      </c>
      <c r="O508" s="142">
        <f t="shared" si="15"/>
        <v>993.16800000000001</v>
      </c>
    </row>
    <row r="509" spans="1:15">
      <c r="A509" s="2" t="s">
        <v>1130</v>
      </c>
      <c r="B509" s="78" t="s">
        <v>1499</v>
      </c>
      <c r="C509" s="2" t="s">
        <v>67</v>
      </c>
      <c r="D509" s="2" t="s">
        <v>16</v>
      </c>
      <c r="E509" s="2" t="s">
        <v>77</v>
      </c>
      <c r="F509" s="2" t="s">
        <v>57</v>
      </c>
      <c r="G509" s="2" t="s">
        <v>97</v>
      </c>
      <c r="H509" s="5">
        <v>1</v>
      </c>
      <c r="I509" s="2" t="s">
        <v>594</v>
      </c>
      <c r="J509" s="2">
        <v>1</v>
      </c>
      <c r="K509" s="32">
        <f>VLOOKUP(E509,照明設備稼働時間!$A$4:$E$31,5,FALSE)</f>
        <v>8760</v>
      </c>
      <c r="L509" s="32" t="str">
        <f t="shared" si="14"/>
        <v>CF2.2W1誘導灯C級片面</v>
      </c>
      <c r="M509" s="14">
        <f>VLOOKUP(L509,照明器具一覧!$B$4:$F$129,5,FALSE)</f>
        <v>4</v>
      </c>
      <c r="N509" s="14">
        <v>1</v>
      </c>
      <c r="O509" s="142">
        <f t="shared" si="15"/>
        <v>35.04</v>
      </c>
    </row>
    <row r="510" spans="1:15">
      <c r="A510" s="2" t="s">
        <v>1131</v>
      </c>
      <c r="B510" s="78" t="s">
        <v>1499</v>
      </c>
      <c r="C510" s="2" t="s">
        <v>69</v>
      </c>
      <c r="D510" s="2" t="s">
        <v>16</v>
      </c>
      <c r="E510" s="2" t="s">
        <v>77</v>
      </c>
      <c r="F510" s="2" t="s">
        <v>39</v>
      </c>
      <c r="G510" s="2" t="s">
        <v>97</v>
      </c>
      <c r="H510" s="5">
        <v>1</v>
      </c>
      <c r="I510" s="2" t="s">
        <v>594</v>
      </c>
      <c r="J510" s="2">
        <v>1</v>
      </c>
      <c r="K510" s="32">
        <f>VLOOKUP(E510,照明設備稼働時間!$A$4:$E$31,5,FALSE)</f>
        <v>8760</v>
      </c>
      <c r="L510" s="32" t="str">
        <f t="shared" si="14"/>
        <v>CF2.2W1誘導灯C級片面</v>
      </c>
      <c r="M510" s="14">
        <f>VLOOKUP(L510,照明器具一覧!$B$4:$F$129,5,FALSE)</f>
        <v>4</v>
      </c>
      <c r="N510" s="14">
        <v>1</v>
      </c>
      <c r="O510" s="142">
        <f t="shared" si="15"/>
        <v>35.04</v>
      </c>
    </row>
    <row r="511" spans="1:15">
      <c r="A511" s="2" t="s">
        <v>1132</v>
      </c>
      <c r="B511" s="78" t="s">
        <v>1499</v>
      </c>
      <c r="C511" s="2" t="s">
        <v>67</v>
      </c>
      <c r="D511" s="2" t="s">
        <v>16</v>
      </c>
      <c r="E511" s="2" t="s">
        <v>77</v>
      </c>
      <c r="F511" s="2" t="s">
        <v>45</v>
      </c>
      <c r="G511" s="2" t="s">
        <v>97</v>
      </c>
      <c r="H511" s="5">
        <v>1</v>
      </c>
      <c r="I511" s="2" t="s">
        <v>594</v>
      </c>
      <c r="J511" s="2">
        <v>1</v>
      </c>
      <c r="K511" s="32">
        <f>VLOOKUP(E511,照明設備稼働時間!$A$4:$E$31,5,FALSE)</f>
        <v>8760</v>
      </c>
      <c r="L511" s="32" t="str">
        <f t="shared" si="14"/>
        <v>CF2.2W1誘導灯C級片面</v>
      </c>
      <c r="M511" s="14">
        <f>VLOOKUP(L511,照明器具一覧!$B$4:$F$129,5,FALSE)</f>
        <v>4</v>
      </c>
      <c r="N511" s="14">
        <v>1</v>
      </c>
      <c r="O511" s="142">
        <f t="shared" si="15"/>
        <v>35.04</v>
      </c>
    </row>
    <row r="512" spans="1:15">
      <c r="A512" s="2" t="s">
        <v>1133</v>
      </c>
      <c r="B512" s="78" t="s">
        <v>1499</v>
      </c>
      <c r="C512" s="2" t="s">
        <v>68</v>
      </c>
      <c r="D512" s="2" t="s">
        <v>16</v>
      </c>
      <c r="E512" s="2" t="s">
        <v>77</v>
      </c>
      <c r="F512" s="2" t="s">
        <v>45</v>
      </c>
      <c r="G512" s="2" t="s">
        <v>98</v>
      </c>
      <c r="H512" s="5">
        <v>1</v>
      </c>
      <c r="I512" s="2" t="s">
        <v>594</v>
      </c>
      <c r="J512" s="2">
        <v>1</v>
      </c>
      <c r="K512" s="32">
        <f>VLOOKUP(E512,照明設備稼働時間!$A$4:$E$31,5,FALSE)</f>
        <v>8760</v>
      </c>
      <c r="L512" s="32" t="str">
        <f t="shared" si="14"/>
        <v>CF2W1誘導灯C級片面</v>
      </c>
      <c r="M512" s="14">
        <f>VLOOKUP(L512,照明器具一覧!$B$4:$F$129,5,FALSE)</f>
        <v>4</v>
      </c>
      <c r="N512" s="14">
        <v>1</v>
      </c>
      <c r="O512" s="142">
        <f t="shared" si="15"/>
        <v>35.04</v>
      </c>
    </row>
    <row r="513" spans="1:15">
      <c r="A513" s="2" t="s">
        <v>1134</v>
      </c>
      <c r="B513" s="78" t="s">
        <v>1499</v>
      </c>
      <c r="C513" s="2" t="s">
        <v>67</v>
      </c>
      <c r="D513" s="2" t="s">
        <v>16</v>
      </c>
      <c r="E513" s="2" t="s">
        <v>77</v>
      </c>
      <c r="F513" s="2" t="s">
        <v>65</v>
      </c>
      <c r="G513" s="2" t="s">
        <v>97</v>
      </c>
      <c r="H513" s="5">
        <v>1</v>
      </c>
      <c r="I513" s="2" t="s">
        <v>594</v>
      </c>
      <c r="J513" s="2">
        <v>1</v>
      </c>
      <c r="K513" s="32">
        <f>VLOOKUP(E513,照明設備稼働時間!$A$4:$E$31,5,FALSE)</f>
        <v>8760</v>
      </c>
      <c r="L513" s="32" t="str">
        <f t="shared" si="14"/>
        <v>CF2.2W1誘導灯C級片面</v>
      </c>
      <c r="M513" s="14">
        <f>VLOOKUP(L513,照明器具一覧!$B$4:$F$129,5,FALSE)</f>
        <v>4</v>
      </c>
      <c r="N513" s="14">
        <v>1</v>
      </c>
      <c r="O513" s="142">
        <f t="shared" si="15"/>
        <v>35.04</v>
      </c>
    </row>
    <row r="514" spans="1:15">
      <c r="A514" s="2" t="s">
        <v>1135</v>
      </c>
      <c r="B514" s="78" t="s">
        <v>1499</v>
      </c>
      <c r="C514" s="2" t="s">
        <v>69</v>
      </c>
      <c r="D514" s="2" t="s">
        <v>16</v>
      </c>
      <c r="E514" s="2" t="s">
        <v>77</v>
      </c>
      <c r="F514" s="2" t="s">
        <v>49</v>
      </c>
      <c r="G514" s="2" t="s">
        <v>97</v>
      </c>
      <c r="H514" s="5">
        <v>1</v>
      </c>
      <c r="I514" s="2" t="s">
        <v>594</v>
      </c>
      <c r="J514" s="2">
        <v>1</v>
      </c>
      <c r="K514" s="32">
        <f>VLOOKUP(E514,照明設備稼働時間!$A$4:$E$31,5,FALSE)</f>
        <v>8760</v>
      </c>
      <c r="L514" s="32" t="str">
        <f t="shared" si="14"/>
        <v>CF2.2W1誘導灯C級片面</v>
      </c>
      <c r="M514" s="14">
        <f>VLOOKUP(L514,照明器具一覧!$B$4:$F$129,5,FALSE)</f>
        <v>4</v>
      </c>
      <c r="N514" s="14">
        <v>1</v>
      </c>
      <c r="O514" s="142">
        <f t="shared" si="15"/>
        <v>35.04</v>
      </c>
    </row>
    <row r="515" spans="1:15">
      <c r="A515" s="2" t="s">
        <v>1136</v>
      </c>
      <c r="B515" s="78" t="s">
        <v>1499</v>
      </c>
      <c r="C515" s="2" t="s">
        <v>67</v>
      </c>
      <c r="D515" s="2" t="s">
        <v>16</v>
      </c>
      <c r="E515" s="2" t="s">
        <v>77</v>
      </c>
      <c r="F515" s="2" t="s">
        <v>23</v>
      </c>
      <c r="G515" s="2" t="s">
        <v>97</v>
      </c>
      <c r="H515" s="5">
        <v>1</v>
      </c>
      <c r="I515" s="2" t="s">
        <v>594</v>
      </c>
      <c r="J515" s="2">
        <v>1</v>
      </c>
      <c r="K515" s="32">
        <f>VLOOKUP(E515,照明設備稼働時間!$A$4:$E$31,5,FALSE)</f>
        <v>8760</v>
      </c>
      <c r="L515" s="32" t="str">
        <f t="shared" si="14"/>
        <v>CF2.2W1誘導灯C級片面</v>
      </c>
      <c r="M515" s="14">
        <f>VLOOKUP(L515,照明器具一覧!$B$4:$F$129,5,FALSE)</f>
        <v>4</v>
      </c>
      <c r="N515" s="14">
        <v>1</v>
      </c>
      <c r="O515" s="142">
        <f t="shared" si="15"/>
        <v>35.04</v>
      </c>
    </row>
    <row r="516" spans="1:15">
      <c r="A516" s="2" t="s">
        <v>1137</v>
      </c>
      <c r="B516" s="78" t="s">
        <v>1499</v>
      </c>
      <c r="C516" s="2" t="s">
        <v>68</v>
      </c>
      <c r="D516" s="2" t="s">
        <v>16</v>
      </c>
      <c r="E516" s="2" t="s">
        <v>77</v>
      </c>
      <c r="F516" s="2" t="s">
        <v>23</v>
      </c>
      <c r="G516" s="2" t="s">
        <v>98</v>
      </c>
      <c r="H516" s="5">
        <v>1</v>
      </c>
      <c r="I516" s="2" t="s">
        <v>594</v>
      </c>
      <c r="J516" s="2">
        <v>1</v>
      </c>
      <c r="K516" s="32">
        <f>VLOOKUP(E516,照明設備稼働時間!$A$4:$E$31,5,FALSE)</f>
        <v>8760</v>
      </c>
      <c r="L516" s="32" t="str">
        <f t="shared" ref="L516:L579" si="16">G516&amp;H516&amp;I516</f>
        <v>CF2W1誘導灯C級片面</v>
      </c>
      <c r="M516" s="14">
        <f>VLOOKUP(L516,照明器具一覧!$B$4:$F$129,5,FALSE)</f>
        <v>4</v>
      </c>
      <c r="N516" s="14">
        <v>1</v>
      </c>
      <c r="O516" s="142">
        <f t="shared" si="15"/>
        <v>35.04</v>
      </c>
    </row>
    <row r="517" spans="1:15">
      <c r="A517" s="2" t="s">
        <v>1138</v>
      </c>
      <c r="B517" s="78" t="s">
        <v>1499</v>
      </c>
      <c r="C517" s="2" t="s">
        <v>69</v>
      </c>
      <c r="D517" s="2" t="s">
        <v>16</v>
      </c>
      <c r="E517" s="2" t="s">
        <v>77</v>
      </c>
      <c r="F517" s="2" t="s">
        <v>11</v>
      </c>
      <c r="G517" s="2" t="s">
        <v>97</v>
      </c>
      <c r="H517" s="5">
        <v>1</v>
      </c>
      <c r="I517" s="2" t="s">
        <v>594</v>
      </c>
      <c r="J517" s="2">
        <v>2</v>
      </c>
      <c r="K517" s="32">
        <f>VLOOKUP(E517,照明設備稼働時間!$A$4:$E$31,5,FALSE)</f>
        <v>8760</v>
      </c>
      <c r="L517" s="32" t="str">
        <f t="shared" si="16"/>
        <v>CF2.2W1誘導灯C級片面</v>
      </c>
      <c r="M517" s="14">
        <f>VLOOKUP(L517,照明器具一覧!$B$4:$F$129,5,FALSE)</f>
        <v>4</v>
      </c>
      <c r="N517" s="14">
        <v>1</v>
      </c>
      <c r="O517" s="142">
        <f t="shared" ref="O517:O580" si="17">(M517*J517*K517*N517)/1000</f>
        <v>70.08</v>
      </c>
    </row>
    <row r="518" spans="1:15">
      <c r="A518" s="2" t="s">
        <v>1139</v>
      </c>
      <c r="B518" s="78" t="s">
        <v>1499</v>
      </c>
      <c r="C518" s="2" t="s">
        <v>68</v>
      </c>
      <c r="D518" s="2" t="s">
        <v>16</v>
      </c>
      <c r="E518" s="2" t="s">
        <v>77</v>
      </c>
      <c r="F518" s="2" t="s">
        <v>11</v>
      </c>
      <c r="G518" s="2" t="s">
        <v>98</v>
      </c>
      <c r="H518" s="5">
        <v>1</v>
      </c>
      <c r="I518" s="2" t="s">
        <v>594</v>
      </c>
      <c r="J518" s="2">
        <v>8</v>
      </c>
      <c r="K518" s="32">
        <f>VLOOKUP(E518,照明設備稼働時間!$A$4:$E$31,5,FALSE)</f>
        <v>8760</v>
      </c>
      <c r="L518" s="32" t="str">
        <f t="shared" si="16"/>
        <v>CF2W1誘導灯C級片面</v>
      </c>
      <c r="M518" s="14">
        <f>VLOOKUP(L518,照明器具一覧!$B$4:$F$129,5,FALSE)</f>
        <v>4</v>
      </c>
      <c r="N518" s="14">
        <v>1</v>
      </c>
      <c r="O518" s="142">
        <f t="shared" si="17"/>
        <v>280.32</v>
      </c>
    </row>
    <row r="519" spans="1:15">
      <c r="A519" s="2" t="s">
        <v>1140</v>
      </c>
      <c r="B519" s="78" t="s">
        <v>1499</v>
      </c>
      <c r="C519" s="2"/>
      <c r="D519" s="2" t="s">
        <v>17</v>
      </c>
      <c r="E519" s="2" t="s">
        <v>624</v>
      </c>
      <c r="F519" s="2" t="s">
        <v>71</v>
      </c>
      <c r="G519" s="2" t="s">
        <v>72</v>
      </c>
      <c r="H519" s="5">
        <v>1</v>
      </c>
      <c r="I519" s="29" t="s">
        <v>585</v>
      </c>
      <c r="J519" s="2">
        <v>95</v>
      </c>
      <c r="K519" s="32">
        <f>VLOOKUP(E519,照明設備稼働時間!$A$4:$E$31,5,FALSE)</f>
        <v>0</v>
      </c>
      <c r="L519" s="32" t="str">
        <f t="shared" si="16"/>
        <v>IL60W1非常照明　電源別置型</v>
      </c>
      <c r="M519" s="14">
        <f>VLOOKUP(L519,照明器具一覧!$B$4:$F$129,5,FALSE)</f>
        <v>60</v>
      </c>
      <c r="N519" s="14">
        <v>1</v>
      </c>
      <c r="O519" s="142">
        <f t="shared" si="17"/>
        <v>0</v>
      </c>
    </row>
    <row r="520" spans="1:15">
      <c r="A520" s="2" t="s">
        <v>1141</v>
      </c>
      <c r="B520" s="78" t="s">
        <v>1499</v>
      </c>
      <c r="C520" s="29" t="s">
        <v>581</v>
      </c>
      <c r="D520" s="2" t="s">
        <v>17</v>
      </c>
      <c r="E520" s="2" t="s">
        <v>624</v>
      </c>
      <c r="F520" s="29" t="s">
        <v>71</v>
      </c>
      <c r="G520" s="29" t="s">
        <v>218</v>
      </c>
      <c r="H520" s="34">
        <v>1</v>
      </c>
      <c r="I520" s="29" t="s">
        <v>585</v>
      </c>
      <c r="J520" s="29">
        <v>3</v>
      </c>
      <c r="K520" s="32">
        <f>VLOOKUP(E520,照明設備稼働時間!$A$4:$E$31,5,FALSE)</f>
        <v>0</v>
      </c>
      <c r="L520" s="32" t="str">
        <f t="shared" si="16"/>
        <v>IL40W1非常照明　電源別置型</v>
      </c>
      <c r="M520" s="14">
        <f>VLOOKUP(L520,照明器具一覧!$B$4:$F$129,5,FALSE)</f>
        <v>40</v>
      </c>
      <c r="N520" s="14">
        <v>1</v>
      </c>
      <c r="O520" s="142">
        <f t="shared" si="17"/>
        <v>0</v>
      </c>
    </row>
    <row r="521" spans="1:15">
      <c r="A521" s="2" t="s">
        <v>1142</v>
      </c>
      <c r="B521" s="78" t="s">
        <v>1499</v>
      </c>
      <c r="C521" s="2" t="s">
        <v>20</v>
      </c>
      <c r="D521" s="2" t="s">
        <v>99</v>
      </c>
      <c r="E521" s="2" t="s">
        <v>44</v>
      </c>
      <c r="F521" s="2" t="s">
        <v>18</v>
      </c>
      <c r="G521" s="2" t="s">
        <v>21</v>
      </c>
      <c r="H521" s="5">
        <v>1</v>
      </c>
      <c r="I521" s="2" t="s">
        <v>91</v>
      </c>
      <c r="J521" s="2">
        <v>1</v>
      </c>
      <c r="K521" s="32">
        <f>VLOOKUP(E521,照明設備稼働時間!$A$4:$E$31,5,FALSE)</f>
        <v>242</v>
      </c>
      <c r="L521" s="32" t="str">
        <f t="shared" si="16"/>
        <v>FHF32W1逆富士</v>
      </c>
      <c r="M521" s="14">
        <f>VLOOKUP(L521,照明器具一覧!$B$4:$F$129,5,FALSE)</f>
        <v>36</v>
      </c>
      <c r="N521" s="14">
        <v>1</v>
      </c>
      <c r="O521" s="142">
        <f t="shared" si="17"/>
        <v>8.7119999999999997</v>
      </c>
    </row>
    <row r="522" spans="1:15">
      <c r="A522" s="2" t="s">
        <v>1143</v>
      </c>
      <c r="B522" s="78" t="s">
        <v>1499</v>
      </c>
      <c r="C522" s="2" t="s">
        <v>20</v>
      </c>
      <c r="D522" s="2" t="s">
        <v>99</v>
      </c>
      <c r="E522" s="29" t="s">
        <v>1513</v>
      </c>
      <c r="F522" s="2" t="s">
        <v>22</v>
      </c>
      <c r="G522" s="2" t="s">
        <v>21</v>
      </c>
      <c r="H522" s="5">
        <v>1</v>
      </c>
      <c r="I522" s="2" t="s">
        <v>91</v>
      </c>
      <c r="J522" s="2">
        <v>1</v>
      </c>
      <c r="K522" s="32">
        <f>VLOOKUP(E522,照明設備稼働時間!$A$4:$E$31,5,FALSE)</f>
        <v>484</v>
      </c>
      <c r="L522" s="32" t="str">
        <f t="shared" si="16"/>
        <v>FHF32W1逆富士</v>
      </c>
      <c r="M522" s="14">
        <f>VLOOKUP(L522,照明器具一覧!$B$4:$F$129,5,FALSE)</f>
        <v>36</v>
      </c>
      <c r="N522" s="14">
        <v>1</v>
      </c>
      <c r="O522" s="142">
        <f t="shared" si="17"/>
        <v>17.423999999999999</v>
      </c>
    </row>
    <row r="523" spans="1:15">
      <c r="A523" s="2" t="s">
        <v>1144</v>
      </c>
      <c r="B523" s="78" t="s">
        <v>1499</v>
      </c>
      <c r="C523" s="2" t="s">
        <v>28</v>
      </c>
      <c r="D523" s="2" t="s">
        <v>99</v>
      </c>
      <c r="E523" s="2" t="s">
        <v>601</v>
      </c>
      <c r="F523" s="2" t="s">
        <v>23</v>
      </c>
      <c r="G523" s="2" t="s">
        <v>21</v>
      </c>
      <c r="H523" s="5">
        <v>1</v>
      </c>
      <c r="I523" s="2" t="s">
        <v>29</v>
      </c>
      <c r="J523" s="2">
        <v>3</v>
      </c>
      <c r="K523" s="32">
        <f>VLOOKUP(E523,照明設備稼働時間!$A$4:$E$31,5,FALSE)</f>
        <v>2299</v>
      </c>
      <c r="L523" s="32" t="str">
        <f t="shared" si="16"/>
        <v>FHF32W1埋込W190</v>
      </c>
      <c r="M523" s="14">
        <f>VLOOKUP(L523,照明器具一覧!$B$4:$F$129,5,FALSE)</f>
        <v>36</v>
      </c>
      <c r="N523" s="14">
        <v>0.33</v>
      </c>
      <c r="O523" s="142">
        <f t="shared" si="17"/>
        <v>81.936360000000008</v>
      </c>
    </row>
    <row r="524" spans="1:15">
      <c r="A524" s="2" t="s">
        <v>1145</v>
      </c>
      <c r="B524" s="78" t="s">
        <v>1499</v>
      </c>
      <c r="C524" s="2" t="s">
        <v>78</v>
      </c>
      <c r="D524" s="2" t="s">
        <v>99</v>
      </c>
      <c r="E524" s="2" t="s">
        <v>1507</v>
      </c>
      <c r="F524" s="2" t="s">
        <v>24</v>
      </c>
      <c r="G524" s="2" t="s">
        <v>19</v>
      </c>
      <c r="H524" s="5">
        <v>1</v>
      </c>
      <c r="I524" s="2" t="s">
        <v>506</v>
      </c>
      <c r="J524" s="2">
        <v>1</v>
      </c>
      <c r="K524" s="32">
        <f>VLOOKUP(E524,照明設備稼働時間!$A$4:$E$31,5,FALSE)</f>
        <v>0</v>
      </c>
      <c r="L524" s="32" t="str">
        <f t="shared" si="16"/>
        <v>FHF16W1片反射笠付(高出力)</v>
      </c>
      <c r="M524" s="14">
        <f>VLOOKUP(L524,照明器具一覧!$B$4:$F$129,5,FALSE)</f>
        <v>26</v>
      </c>
      <c r="N524" s="14">
        <v>1</v>
      </c>
      <c r="O524" s="142">
        <f t="shared" si="17"/>
        <v>0</v>
      </c>
    </row>
    <row r="525" spans="1:15">
      <c r="A525" s="2" t="s">
        <v>1146</v>
      </c>
      <c r="B525" s="78" t="s">
        <v>1499</v>
      </c>
      <c r="C525" s="2" t="s">
        <v>79</v>
      </c>
      <c r="D525" s="2" t="s">
        <v>99</v>
      </c>
      <c r="E525" s="2" t="s">
        <v>601</v>
      </c>
      <c r="F525" s="2" t="s">
        <v>25</v>
      </c>
      <c r="G525" s="2" t="s">
        <v>21</v>
      </c>
      <c r="H525" s="5">
        <v>1</v>
      </c>
      <c r="I525" s="2" t="s">
        <v>554</v>
      </c>
      <c r="J525" s="2">
        <v>1</v>
      </c>
      <c r="K525" s="32">
        <f>VLOOKUP(E525,照明設備稼働時間!$A$4:$E$31,5,FALSE)</f>
        <v>2299</v>
      </c>
      <c r="L525" s="32" t="str">
        <f t="shared" si="16"/>
        <v>FHF32W1階段灯　非常灯付</v>
      </c>
      <c r="M525" s="14">
        <f>VLOOKUP(L525,照明器具一覧!$B$4:$F$129,5,FALSE)</f>
        <v>36</v>
      </c>
      <c r="N525" s="14">
        <v>1</v>
      </c>
      <c r="O525" s="142">
        <f t="shared" si="17"/>
        <v>82.763999999999996</v>
      </c>
    </row>
    <row r="526" spans="1:15">
      <c r="A526" s="2" t="s">
        <v>1147</v>
      </c>
      <c r="B526" s="78" t="s">
        <v>1499</v>
      </c>
      <c r="C526" s="2" t="s">
        <v>80</v>
      </c>
      <c r="D526" s="2" t="s">
        <v>99</v>
      </c>
      <c r="E526" s="2" t="s">
        <v>601</v>
      </c>
      <c r="F526" s="2" t="s">
        <v>25</v>
      </c>
      <c r="G526" s="2" t="s">
        <v>21</v>
      </c>
      <c r="H526" s="5">
        <v>1</v>
      </c>
      <c r="I526" s="2" t="s">
        <v>554</v>
      </c>
      <c r="J526" s="2">
        <v>1</v>
      </c>
      <c r="K526" s="32">
        <f>VLOOKUP(E526,照明設備稼働時間!$A$4:$E$31,5,FALSE)</f>
        <v>2299</v>
      </c>
      <c r="L526" s="32" t="str">
        <f t="shared" si="16"/>
        <v>FHF32W1階段灯　非常灯付</v>
      </c>
      <c r="M526" s="14">
        <f>VLOOKUP(L526,照明器具一覧!$B$4:$F$129,5,FALSE)</f>
        <v>36</v>
      </c>
      <c r="N526" s="14">
        <v>1</v>
      </c>
      <c r="O526" s="142">
        <f t="shared" si="17"/>
        <v>82.763999999999996</v>
      </c>
    </row>
    <row r="527" spans="1:15">
      <c r="A527" s="2" t="s">
        <v>1148</v>
      </c>
      <c r="B527" s="78" t="s">
        <v>1499</v>
      </c>
      <c r="C527" s="2" t="s">
        <v>20</v>
      </c>
      <c r="D527" s="2" t="s">
        <v>99</v>
      </c>
      <c r="E527" s="2" t="s">
        <v>603</v>
      </c>
      <c r="F527" s="2" t="s">
        <v>27</v>
      </c>
      <c r="G527" s="2" t="s">
        <v>21</v>
      </c>
      <c r="H527" s="5">
        <v>1</v>
      </c>
      <c r="I527" s="2" t="s">
        <v>91</v>
      </c>
      <c r="J527" s="2">
        <v>1</v>
      </c>
      <c r="K527" s="32">
        <f>VLOOKUP(E527,照明設備稼働時間!$A$4:$E$31,5,FALSE)</f>
        <v>968</v>
      </c>
      <c r="L527" s="32" t="str">
        <f t="shared" si="16"/>
        <v>FHF32W1逆富士</v>
      </c>
      <c r="M527" s="14">
        <f>VLOOKUP(L527,照明器具一覧!$B$4:$F$129,5,FALSE)</f>
        <v>36</v>
      </c>
      <c r="N527" s="14">
        <v>1</v>
      </c>
      <c r="O527" s="142">
        <f t="shared" si="17"/>
        <v>34.847999999999999</v>
      </c>
    </row>
    <row r="528" spans="1:15">
      <c r="A528" s="2" t="s">
        <v>1149</v>
      </c>
      <c r="B528" s="78" t="s">
        <v>1499</v>
      </c>
      <c r="C528" s="2"/>
      <c r="D528" s="2" t="s">
        <v>99</v>
      </c>
      <c r="E528" s="2" t="s">
        <v>603</v>
      </c>
      <c r="F528" s="2" t="s">
        <v>27</v>
      </c>
      <c r="G528" s="2" t="s">
        <v>31</v>
      </c>
      <c r="H528" s="5">
        <v>1</v>
      </c>
      <c r="I528" s="2" t="s">
        <v>316</v>
      </c>
      <c r="J528" s="2">
        <v>2</v>
      </c>
      <c r="K528" s="32">
        <f>VLOOKUP(E528,照明設備稼働時間!$A$4:$E$31,5,FALSE)</f>
        <v>968</v>
      </c>
      <c r="L528" s="32" t="str">
        <f t="shared" si="16"/>
        <v>LED電球1レセップ</v>
      </c>
      <c r="M528" s="14">
        <f>VLOOKUP(L528,照明器具一覧!$B$4:$F$129,5,FALSE)</f>
        <v>4.5999999999999996</v>
      </c>
      <c r="N528" s="14">
        <v>0.5</v>
      </c>
      <c r="O528" s="142">
        <f t="shared" si="17"/>
        <v>4.452799999999999</v>
      </c>
    </row>
    <row r="529" spans="1:15">
      <c r="A529" s="2" t="s">
        <v>1150</v>
      </c>
      <c r="B529" s="78" t="s">
        <v>1499</v>
      </c>
      <c r="C529" s="2" t="s">
        <v>20</v>
      </c>
      <c r="D529" s="2" t="s">
        <v>99</v>
      </c>
      <c r="E529" s="2" t="s">
        <v>603</v>
      </c>
      <c r="F529" s="2" t="s">
        <v>26</v>
      </c>
      <c r="G529" s="2" t="s">
        <v>21</v>
      </c>
      <c r="H529" s="5">
        <v>1</v>
      </c>
      <c r="I529" s="2" t="s">
        <v>91</v>
      </c>
      <c r="J529" s="2">
        <v>1</v>
      </c>
      <c r="K529" s="32">
        <f>VLOOKUP(E529,照明設備稼働時間!$A$4:$E$31,5,FALSE)</f>
        <v>968</v>
      </c>
      <c r="L529" s="32" t="str">
        <f t="shared" si="16"/>
        <v>FHF32W1逆富士</v>
      </c>
      <c r="M529" s="14">
        <f>VLOOKUP(L529,照明器具一覧!$B$4:$F$129,5,FALSE)</f>
        <v>36</v>
      </c>
      <c r="N529" s="14">
        <v>1</v>
      </c>
      <c r="O529" s="142">
        <f t="shared" si="17"/>
        <v>34.847999999999999</v>
      </c>
    </row>
    <row r="530" spans="1:15">
      <c r="A530" s="2" t="s">
        <v>1151</v>
      </c>
      <c r="B530" s="78" t="s">
        <v>1499</v>
      </c>
      <c r="C530" s="2"/>
      <c r="D530" s="2" t="s">
        <v>99</v>
      </c>
      <c r="E530" s="2" t="s">
        <v>603</v>
      </c>
      <c r="F530" s="2" t="s">
        <v>26</v>
      </c>
      <c r="G530" s="2" t="s">
        <v>31</v>
      </c>
      <c r="H530" s="5">
        <v>1</v>
      </c>
      <c r="I530" s="2" t="s">
        <v>316</v>
      </c>
      <c r="J530" s="2">
        <v>3</v>
      </c>
      <c r="K530" s="32">
        <f>VLOOKUP(E530,照明設備稼働時間!$A$4:$E$31,5,FALSE)</f>
        <v>968</v>
      </c>
      <c r="L530" s="32" t="str">
        <f t="shared" si="16"/>
        <v>LED電球1レセップ</v>
      </c>
      <c r="M530" s="14">
        <f>VLOOKUP(L530,照明器具一覧!$B$4:$F$129,5,FALSE)</f>
        <v>4.5999999999999996</v>
      </c>
      <c r="N530" s="14">
        <v>0.66</v>
      </c>
      <c r="O530" s="142">
        <f t="shared" si="17"/>
        <v>8.8165440000000004</v>
      </c>
    </row>
    <row r="531" spans="1:15">
      <c r="A531" s="2" t="s">
        <v>1152</v>
      </c>
      <c r="B531" s="78" t="s">
        <v>1499</v>
      </c>
      <c r="C531" s="2" t="s">
        <v>507</v>
      </c>
      <c r="D531" s="2" t="s">
        <v>99</v>
      </c>
      <c r="E531" s="2" t="s">
        <v>600</v>
      </c>
      <c r="F531" s="2" t="s">
        <v>100</v>
      </c>
      <c r="G531" s="2" t="s">
        <v>21</v>
      </c>
      <c r="H531" s="5">
        <v>9</v>
      </c>
      <c r="I531" s="2" t="s">
        <v>379</v>
      </c>
      <c r="J531" s="2">
        <v>3</v>
      </c>
      <c r="K531" s="32">
        <f>VLOOKUP(E531,照明設備稼働時間!$A$4:$E$31,5,FALSE)</f>
        <v>2299</v>
      </c>
      <c r="L531" s="32" t="str">
        <f t="shared" si="16"/>
        <v>FHF32W9スクエア</v>
      </c>
      <c r="M531" s="14">
        <f>VLOOKUP(L531,照明器具一覧!$B$4:$F$129,5,FALSE)</f>
        <v>324</v>
      </c>
      <c r="N531" s="14">
        <v>1</v>
      </c>
      <c r="O531" s="142">
        <f t="shared" si="17"/>
        <v>2234.6280000000002</v>
      </c>
    </row>
    <row r="532" spans="1:15">
      <c r="A532" s="2" t="s">
        <v>1153</v>
      </c>
      <c r="B532" s="78" t="s">
        <v>1499</v>
      </c>
      <c r="C532" s="2" t="s">
        <v>84</v>
      </c>
      <c r="D532" s="2" t="s">
        <v>99</v>
      </c>
      <c r="E532" s="2" t="s">
        <v>600</v>
      </c>
      <c r="F532" s="2" t="s">
        <v>100</v>
      </c>
      <c r="G532" s="2" t="s">
        <v>21</v>
      </c>
      <c r="H532" s="5">
        <v>1</v>
      </c>
      <c r="I532" s="2" t="s">
        <v>89</v>
      </c>
      <c r="J532" s="2">
        <v>4</v>
      </c>
      <c r="K532" s="32">
        <f>VLOOKUP(E532,照明設備稼働時間!$A$4:$E$31,5,FALSE)</f>
        <v>2299</v>
      </c>
      <c r="L532" s="32" t="str">
        <f t="shared" si="16"/>
        <v>FHF32W1トラフ</v>
      </c>
      <c r="M532" s="14">
        <f>VLOOKUP(L532,照明器具一覧!$B$4:$F$129,5,FALSE)</f>
        <v>36</v>
      </c>
      <c r="N532" s="14">
        <v>1</v>
      </c>
      <c r="O532" s="142">
        <f t="shared" si="17"/>
        <v>331.05599999999998</v>
      </c>
    </row>
    <row r="533" spans="1:15">
      <c r="A533" s="2" t="s">
        <v>1154</v>
      </c>
      <c r="B533" s="78" t="s">
        <v>1499</v>
      </c>
      <c r="C533" s="2" t="s">
        <v>508</v>
      </c>
      <c r="D533" s="2" t="s">
        <v>99</v>
      </c>
      <c r="E533" s="2" t="s">
        <v>600</v>
      </c>
      <c r="F533" s="2" t="s">
        <v>100</v>
      </c>
      <c r="G533" s="2" t="s">
        <v>19</v>
      </c>
      <c r="H533" s="5">
        <v>1</v>
      </c>
      <c r="I533" s="2" t="s">
        <v>89</v>
      </c>
      <c r="J533" s="2">
        <v>2</v>
      </c>
      <c r="K533" s="32">
        <f>VLOOKUP(E533,照明設備稼働時間!$A$4:$E$31,5,FALSE)</f>
        <v>2299</v>
      </c>
      <c r="L533" s="32" t="str">
        <f t="shared" si="16"/>
        <v>FHF16W1トラフ</v>
      </c>
      <c r="M533" s="14">
        <f>VLOOKUP(L533,照明器具一覧!$B$4:$F$129,5,FALSE)</f>
        <v>26</v>
      </c>
      <c r="N533" s="14">
        <v>1</v>
      </c>
      <c r="O533" s="142">
        <f t="shared" si="17"/>
        <v>119.548</v>
      </c>
    </row>
    <row r="534" spans="1:15">
      <c r="A534" s="2" t="s">
        <v>1155</v>
      </c>
      <c r="B534" s="78" t="s">
        <v>1499</v>
      </c>
      <c r="C534" s="2"/>
      <c r="D534" s="2" t="s">
        <v>99</v>
      </c>
      <c r="E534" s="2" t="s">
        <v>600</v>
      </c>
      <c r="F534" s="2" t="s">
        <v>100</v>
      </c>
      <c r="G534" s="2" t="s">
        <v>72</v>
      </c>
      <c r="H534" s="5">
        <v>1</v>
      </c>
      <c r="I534" s="2" t="s">
        <v>73</v>
      </c>
      <c r="J534" s="2">
        <v>11</v>
      </c>
      <c r="K534" s="32">
        <f>VLOOKUP(E534,照明設備稼働時間!$A$4:$E$31,5,FALSE)</f>
        <v>2299</v>
      </c>
      <c r="L534" s="32" t="str">
        <f t="shared" si="16"/>
        <v>IL60W1ダウンライト</v>
      </c>
      <c r="M534" s="14">
        <f>VLOOKUP(L534,照明器具一覧!$B$4:$F$129,5,FALSE)</f>
        <v>60</v>
      </c>
      <c r="N534" s="14">
        <v>1</v>
      </c>
      <c r="O534" s="142">
        <f t="shared" si="17"/>
        <v>1517.34</v>
      </c>
    </row>
    <row r="535" spans="1:15">
      <c r="A535" s="2" t="s">
        <v>1156</v>
      </c>
      <c r="B535" s="78" t="s">
        <v>1499</v>
      </c>
      <c r="C535" s="2" t="s">
        <v>330</v>
      </c>
      <c r="D535" s="2" t="s">
        <v>99</v>
      </c>
      <c r="E535" s="2" t="s">
        <v>600</v>
      </c>
      <c r="F535" s="2" t="s">
        <v>101</v>
      </c>
      <c r="G535" s="2" t="s">
        <v>21</v>
      </c>
      <c r="H535" s="5">
        <v>2</v>
      </c>
      <c r="I535" s="2" t="s">
        <v>509</v>
      </c>
      <c r="J535" s="2">
        <v>2</v>
      </c>
      <c r="K535" s="32">
        <f>VLOOKUP(E535,照明設備稼働時間!$A$4:$E$31,5,FALSE)</f>
        <v>2299</v>
      </c>
      <c r="L535" s="32" t="str">
        <f t="shared" si="16"/>
        <v>FHF32W2埋込W300</v>
      </c>
      <c r="M535" s="14">
        <f>VLOOKUP(L535,照明器具一覧!$B$4:$F$129,5,FALSE)</f>
        <v>71</v>
      </c>
      <c r="N535" s="14">
        <v>1</v>
      </c>
      <c r="O535" s="142">
        <f t="shared" si="17"/>
        <v>326.45800000000003</v>
      </c>
    </row>
    <row r="536" spans="1:15">
      <c r="A536" s="2" t="s">
        <v>1157</v>
      </c>
      <c r="B536" s="78" t="s">
        <v>1499</v>
      </c>
      <c r="C536" s="2"/>
      <c r="D536" s="2" t="s">
        <v>99</v>
      </c>
      <c r="E536" s="2" t="s">
        <v>600</v>
      </c>
      <c r="F536" s="2" t="s">
        <v>101</v>
      </c>
      <c r="G536" s="2" t="s">
        <v>123</v>
      </c>
      <c r="H536" s="5">
        <v>1</v>
      </c>
      <c r="I536" s="2" t="s">
        <v>124</v>
      </c>
      <c r="J536" s="2">
        <v>1</v>
      </c>
      <c r="K536" s="32">
        <f>VLOOKUP(E536,照明設備稼働時間!$A$4:$E$31,5,FALSE)</f>
        <v>2299</v>
      </c>
      <c r="L536" s="32" t="str">
        <f t="shared" si="16"/>
        <v>FL15W1棚下灯</v>
      </c>
      <c r="M536" s="14">
        <f>VLOOKUP(L536,照明器具一覧!$B$4:$F$129,5,FALSE)</f>
        <v>18</v>
      </c>
      <c r="N536" s="14">
        <v>1</v>
      </c>
      <c r="O536" s="142">
        <f t="shared" si="17"/>
        <v>41.381999999999998</v>
      </c>
    </row>
    <row r="537" spans="1:15">
      <c r="A537" s="2" t="s">
        <v>1158</v>
      </c>
      <c r="B537" s="78" t="s">
        <v>1499</v>
      </c>
      <c r="C537" s="2" t="s">
        <v>330</v>
      </c>
      <c r="D537" s="2" t="s">
        <v>99</v>
      </c>
      <c r="E537" s="2" t="s">
        <v>600</v>
      </c>
      <c r="F537" s="2" t="s">
        <v>102</v>
      </c>
      <c r="G537" s="2" t="s">
        <v>21</v>
      </c>
      <c r="H537" s="5">
        <v>2</v>
      </c>
      <c r="I537" s="2" t="s">
        <v>509</v>
      </c>
      <c r="J537" s="2">
        <v>6</v>
      </c>
      <c r="K537" s="32">
        <f>VLOOKUP(E537,照明設備稼働時間!$A$4:$E$31,5,FALSE)</f>
        <v>2299</v>
      </c>
      <c r="L537" s="32" t="str">
        <f t="shared" si="16"/>
        <v>FHF32W2埋込W300</v>
      </c>
      <c r="M537" s="14">
        <f>VLOOKUP(L537,照明器具一覧!$B$4:$F$129,5,FALSE)</f>
        <v>71</v>
      </c>
      <c r="N537" s="14">
        <v>1</v>
      </c>
      <c r="O537" s="142">
        <f t="shared" si="17"/>
        <v>979.37400000000002</v>
      </c>
    </row>
    <row r="538" spans="1:15">
      <c r="A538" s="2" t="s">
        <v>1159</v>
      </c>
      <c r="B538" s="78" t="s">
        <v>1499</v>
      </c>
      <c r="C538" s="2"/>
      <c r="D538" s="2" t="s">
        <v>99</v>
      </c>
      <c r="E538" s="2" t="s">
        <v>600</v>
      </c>
      <c r="F538" s="2" t="s">
        <v>102</v>
      </c>
      <c r="G538" s="2" t="s">
        <v>72</v>
      </c>
      <c r="H538" s="5">
        <v>1</v>
      </c>
      <c r="I538" s="2" t="s">
        <v>73</v>
      </c>
      <c r="J538" s="2">
        <v>7</v>
      </c>
      <c r="K538" s="32">
        <f>VLOOKUP(E538,照明設備稼働時間!$A$4:$E$31,5,FALSE)</f>
        <v>2299</v>
      </c>
      <c r="L538" s="32" t="str">
        <f t="shared" si="16"/>
        <v>IL60W1ダウンライト</v>
      </c>
      <c r="M538" s="14">
        <f>VLOOKUP(L538,照明器具一覧!$B$4:$F$129,5,FALSE)</f>
        <v>60</v>
      </c>
      <c r="N538" s="14">
        <v>1</v>
      </c>
      <c r="O538" s="142">
        <f t="shared" si="17"/>
        <v>965.58</v>
      </c>
    </row>
    <row r="539" spans="1:15">
      <c r="A539" s="2" t="s">
        <v>1160</v>
      </c>
      <c r="B539" s="78" t="s">
        <v>1499</v>
      </c>
      <c r="C539" s="2" t="s">
        <v>507</v>
      </c>
      <c r="D539" s="2" t="s">
        <v>99</v>
      </c>
      <c r="E539" s="2" t="s">
        <v>600</v>
      </c>
      <c r="F539" s="2" t="s">
        <v>103</v>
      </c>
      <c r="G539" s="2" t="s">
        <v>21</v>
      </c>
      <c r="H539" s="5">
        <v>6</v>
      </c>
      <c r="I539" s="2" t="s">
        <v>379</v>
      </c>
      <c r="J539" s="2">
        <v>1</v>
      </c>
      <c r="K539" s="32">
        <f>VLOOKUP(E539,照明設備稼働時間!$A$4:$E$31,5,FALSE)</f>
        <v>2299</v>
      </c>
      <c r="L539" s="32" t="str">
        <f t="shared" si="16"/>
        <v>FHF32W6スクエア</v>
      </c>
      <c r="M539" s="14">
        <f>VLOOKUP(L539,照明器具一覧!$B$4:$F$129,5,FALSE)</f>
        <v>213</v>
      </c>
      <c r="N539" s="14">
        <v>1</v>
      </c>
      <c r="O539" s="142">
        <f t="shared" si="17"/>
        <v>489.68700000000001</v>
      </c>
    </row>
    <row r="540" spans="1:15">
      <c r="A540" s="2" t="s">
        <v>1161</v>
      </c>
      <c r="B540" s="78" t="s">
        <v>1499</v>
      </c>
      <c r="C540" s="2" t="s">
        <v>84</v>
      </c>
      <c r="D540" s="2" t="s">
        <v>99</v>
      </c>
      <c r="E540" s="2" t="s">
        <v>600</v>
      </c>
      <c r="F540" s="2" t="s">
        <v>103</v>
      </c>
      <c r="G540" s="2" t="s">
        <v>21</v>
      </c>
      <c r="H540" s="5">
        <v>1</v>
      </c>
      <c r="I540" s="2" t="s">
        <v>89</v>
      </c>
      <c r="J540" s="2">
        <v>4</v>
      </c>
      <c r="K540" s="32">
        <f>VLOOKUP(E540,照明設備稼働時間!$A$4:$E$31,5,FALSE)</f>
        <v>2299</v>
      </c>
      <c r="L540" s="32" t="str">
        <f t="shared" si="16"/>
        <v>FHF32W1トラフ</v>
      </c>
      <c r="M540" s="14">
        <f>VLOOKUP(L540,照明器具一覧!$B$4:$F$129,5,FALSE)</f>
        <v>36</v>
      </c>
      <c r="N540" s="14">
        <v>1</v>
      </c>
      <c r="O540" s="142">
        <f t="shared" si="17"/>
        <v>331.05599999999998</v>
      </c>
    </row>
    <row r="541" spans="1:15">
      <c r="A541" s="2" t="s">
        <v>1162</v>
      </c>
      <c r="B541" s="78" t="s">
        <v>1499</v>
      </c>
      <c r="C541" s="2"/>
      <c r="D541" s="2" t="s">
        <v>99</v>
      </c>
      <c r="E541" s="2" t="s">
        <v>600</v>
      </c>
      <c r="F541" s="2" t="s">
        <v>103</v>
      </c>
      <c r="G541" s="2" t="s">
        <v>72</v>
      </c>
      <c r="H541" s="5">
        <v>1</v>
      </c>
      <c r="I541" s="2" t="s">
        <v>73</v>
      </c>
      <c r="J541" s="2">
        <v>3</v>
      </c>
      <c r="K541" s="32">
        <f>VLOOKUP(E541,照明設備稼働時間!$A$4:$E$31,5,FALSE)</f>
        <v>2299</v>
      </c>
      <c r="L541" s="32" t="str">
        <f t="shared" si="16"/>
        <v>IL60W1ダウンライト</v>
      </c>
      <c r="M541" s="14">
        <f>VLOOKUP(L541,照明器具一覧!$B$4:$F$129,5,FALSE)</f>
        <v>60</v>
      </c>
      <c r="N541" s="14">
        <v>1</v>
      </c>
      <c r="O541" s="142">
        <f t="shared" si="17"/>
        <v>413.82</v>
      </c>
    </row>
    <row r="542" spans="1:15">
      <c r="A542" s="2" t="s">
        <v>1163</v>
      </c>
      <c r="B542" s="78" t="s">
        <v>1499</v>
      </c>
      <c r="C542" s="2" t="s">
        <v>507</v>
      </c>
      <c r="D542" s="2" t="s">
        <v>99</v>
      </c>
      <c r="E542" s="2" t="s">
        <v>600</v>
      </c>
      <c r="F542" s="2" t="s">
        <v>104</v>
      </c>
      <c r="G542" s="2" t="s">
        <v>21</v>
      </c>
      <c r="H542" s="5">
        <v>6</v>
      </c>
      <c r="I542" s="2" t="s">
        <v>379</v>
      </c>
      <c r="J542" s="2">
        <v>1</v>
      </c>
      <c r="K542" s="32">
        <f>VLOOKUP(E542,照明設備稼働時間!$A$4:$E$31,5,FALSE)</f>
        <v>2299</v>
      </c>
      <c r="L542" s="32" t="str">
        <f t="shared" si="16"/>
        <v>FHF32W6スクエア</v>
      </c>
      <c r="M542" s="14">
        <f>VLOOKUP(L542,照明器具一覧!$B$4:$F$129,5,FALSE)</f>
        <v>213</v>
      </c>
      <c r="N542" s="14">
        <v>1</v>
      </c>
      <c r="O542" s="142">
        <f t="shared" si="17"/>
        <v>489.68700000000001</v>
      </c>
    </row>
    <row r="543" spans="1:15">
      <c r="A543" s="2" t="s">
        <v>1164</v>
      </c>
      <c r="B543" s="78" t="s">
        <v>1499</v>
      </c>
      <c r="C543" s="2" t="s">
        <v>84</v>
      </c>
      <c r="D543" s="2" t="s">
        <v>99</v>
      </c>
      <c r="E543" s="2" t="s">
        <v>600</v>
      </c>
      <c r="F543" s="2" t="s">
        <v>104</v>
      </c>
      <c r="G543" s="2" t="s">
        <v>21</v>
      </c>
      <c r="H543" s="5">
        <v>1</v>
      </c>
      <c r="I543" s="2" t="s">
        <v>89</v>
      </c>
      <c r="J543" s="2">
        <v>1</v>
      </c>
      <c r="K543" s="32">
        <f>VLOOKUP(E543,照明設備稼働時間!$A$4:$E$31,5,FALSE)</f>
        <v>2299</v>
      </c>
      <c r="L543" s="32" t="str">
        <f t="shared" si="16"/>
        <v>FHF32W1トラフ</v>
      </c>
      <c r="M543" s="14">
        <f>VLOOKUP(L543,照明器具一覧!$B$4:$F$129,5,FALSE)</f>
        <v>36</v>
      </c>
      <c r="N543" s="14">
        <v>1</v>
      </c>
      <c r="O543" s="142">
        <f t="shared" si="17"/>
        <v>82.763999999999996</v>
      </c>
    </row>
    <row r="544" spans="1:15">
      <c r="A544" s="2" t="s">
        <v>1165</v>
      </c>
      <c r="B544" s="78" t="s">
        <v>1499</v>
      </c>
      <c r="C544" s="2"/>
      <c r="D544" s="2" t="s">
        <v>99</v>
      </c>
      <c r="E544" s="2" t="s">
        <v>600</v>
      </c>
      <c r="F544" s="2" t="s">
        <v>104</v>
      </c>
      <c r="G544" s="2" t="s">
        <v>72</v>
      </c>
      <c r="H544" s="5">
        <v>1</v>
      </c>
      <c r="I544" s="2" t="s">
        <v>73</v>
      </c>
      <c r="J544" s="2">
        <v>6</v>
      </c>
      <c r="K544" s="32">
        <f>VLOOKUP(E544,照明設備稼働時間!$A$4:$E$31,5,FALSE)</f>
        <v>2299</v>
      </c>
      <c r="L544" s="32" t="str">
        <f t="shared" si="16"/>
        <v>IL60W1ダウンライト</v>
      </c>
      <c r="M544" s="14">
        <f>VLOOKUP(L544,照明器具一覧!$B$4:$F$129,5,FALSE)</f>
        <v>60</v>
      </c>
      <c r="N544" s="14">
        <v>1</v>
      </c>
      <c r="O544" s="142">
        <f t="shared" si="17"/>
        <v>827.64</v>
      </c>
    </row>
    <row r="545" spans="1:15">
      <c r="A545" s="2" t="s">
        <v>1166</v>
      </c>
      <c r="B545" s="78" t="s">
        <v>1499</v>
      </c>
      <c r="C545" s="2" t="s">
        <v>83</v>
      </c>
      <c r="D545" s="2" t="s">
        <v>99</v>
      </c>
      <c r="E545" s="2" t="s">
        <v>265</v>
      </c>
      <c r="F545" s="2" t="s">
        <v>35</v>
      </c>
      <c r="G545" s="2" t="s">
        <v>21</v>
      </c>
      <c r="H545" s="5">
        <v>1</v>
      </c>
      <c r="I545" s="2" t="s">
        <v>89</v>
      </c>
      <c r="J545" s="2">
        <v>4</v>
      </c>
      <c r="K545" s="32">
        <f>VLOOKUP(E545,照明設備稼働時間!$A$4:$E$31,5,FALSE)</f>
        <v>2602</v>
      </c>
      <c r="L545" s="32" t="str">
        <f t="shared" si="16"/>
        <v>FHF32W1トラフ</v>
      </c>
      <c r="M545" s="14">
        <f>VLOOKUP(L545,照明器具一覧!$B$4:$F$129,5,FALSE)</f>
        <v>36</v>
      </c>
      <c r="N545" s="14">
        <v>1</v>
      </c>
      <c r="O545" s="142">
        <f t="shared" si="17"/>
        <v>374.68799999999999</v>
      </c>
    </row>
    <row r="546" spans="1:15">
      <c r="A546" s="2" t="s">
        <v>1167</v>
      </c>
      <c r="B546" s="78" t="s">
        <v>1499</v>
      </c>
      <c r="C546" s="2" t="s">
        <v>84</v>
      </c>
      <c r="D546" s="2" t="s">
        <v>99</v>
      </c>
      <c r="E546" s="2" t="s">
        <v>265</v>
      </c>
      <c r="F546" s="2" t="s">
        <v>35</v>
      </c>
      <c r="G546" s="2" t="s">
        <v>21</v>
      </c>
      <c r="H546" s="5">
        <v>1</v>
      </c>
      <c r="I546" s="2" t="s">
        <v>89</v>
      </c>
      <c r="J546" s="2">
        <v>1</v>
      </c>
      <c r="K546" s="32">
        <f>VLOOKUP(E546,照明設備稼働時間!$A$4:$E$31,5,FALSE)</f>
        <v>2602</v>
      </c>
      <c r="L546" s="32" t="str">
        <f t="shared" si="16"/>
        <v>FHF32W1トラフ</v>
      </c>
      <c r="M546" s="14">
        <f>VLOOKUP(L546,照明器具一覧!$B$4:$F$129,5,FALSE)</f>
        <v>36</v>
      </c>
      <c r="N546" s="14">
        <v>1</v>
      </c>
      <c r="O546" s="142">
        <f t="shared" si="17"/>
        <v>93.671999999999997</v>
      </c>
    </row>
    <row r="547" spans="1:15">
      <c r="A547" s="2" t="s">
        <v>1168</v>
      </c>
      <c r="B547" s="78" t="s">
        <v>1499</v>
      </c>
      <c r="C547" s="2"/>
      <c r="D547" s="2" t="s">
        <v>99</v>
      </c>
      <c r="E547" s="2" t="s">
        <v>265</v>
      </c>
      <c r="F547" s="2" t="s">
        <v>35</v>
      </c>
      <c r="G547" s="2" t="s">
        <v>72</v>
      </c>
      <c r="H547" s="5">
        <v>1</v>
      </c>
      <c r="I547" s="2" t="s">
        <v>73</v>
      </c>
      <c r="J547" s="2">
        <v>6</v>
      </c>
      <c r="K547" s="32">
        <f>VLOOKUP(E547,照明設備稼働時間!$A$4:$E$31,5,FALSE)</f>
        <v>2602</v>
      </c>
      <c r="L547" s="32" t="str">
        <f t="shared" si="16"/>
        <v>IL60W1ダウンライト</v>
      </c>
      <c r="M547" s="14">
        <f>VLOOKUP(L547,照明器具一覧!$B$4:$F$129,5,FALSE)</f>
        <v>60</v>
      </c>
      <c r="N547" s="14">
        <v>1</v>
      </c>
      <c r="O547" s="142">
        <f t="shared" si="17"/>
        <v>936.72</v>
      </c>
    </row>
    <row r="548" spans="1:15">
      <c r="A548" s="2" t="s">
        <v>1169</v>
      </c>
      <c r="B548" s="78" t="s">
        <v>1499</v>
      </c>
      <c r="C548" s="2" t="s">
        <v>510</v>
      </c>
      <c r="D548" s="2" t="s">
        <v>99</v>
      </c>
      <c r="E548" s="2" t="s">
        <v>600</v>
      </c>
      <c r="F548" s="2" t="s">
        <v>105</v>
      </c>
      <c r="G548" s="2" t="s">
        <v>21</v>
      </c>
      <c r="H548" s="5">
        <v>36</v>
      </c>
      <c r="I548" s="2" t="s">
        <v>518</v>
      </c>
      <c r="J548" s="2">
        <v>1</v>
      </c>
      <c r="K548" s="32">
        <f>VLOOKUP(E548,照明設備稼働時間!$A$4:$E$31,5,FALSE)</f>
        <v>2299</v>
      </c>
      <c r="L548" s="32" t="str">
        <f t="shared" si="16"/>
        <v>FHF32W36スクエア 埋込ルーバ 6連結</v>
      </c>
      <c r="M548" s="14">
        <f>VLOOKUP(L548,照明器具一覧!$B$4:$F$129,5,FALSE)</f>
        <v>1296</v>
      </c>
      <c r="N548" s="14">
        <v>1</v>
      </c>
      <c r="O548" s="142">
        <f t="shared" si="17"/>
        <v>2979.5039999999999</v>
      </c>
    </row>
    <row r="549" spans="1:15">
      <c r="A549" s="2" t="s">
        <v>1170</v>
      </c>
      <c r="B549" s="78" t="s">
        <v>1499</v>
      </c>
      <c r="C549" s="2" t="s">
        <v>84</v>
      </c>
      <c r="D549" s="2" t="s">
        <v>99</v>
      </c>
      <c r="E549" s="2" t="s">
        <v>600</v>
      </c>
      <c r="F549" s="2" t="s">
        <v>105</v>
      </c>
      <c r="G549" s="2" t="s">
        <v>21</v>
      </c>
      <c r="H549" s="5">
        <v>1</v>
      </c>
      <c r="I549" s="2" t="s">
        <v>89</v>
      </c>
      <c r="J549" s="2">
        <v>12</v>
      </c>
      <c r="K549" s="32">
        <f>VLOOKUP(E549,照明設備稼働時間!$A$4:$E$31,5,FALSE)</f>
        <v>2299</v>
      </c>
      <c r="L549" s="32" t="str">
        <f t="shared" si="16"/>
        <v>FHF32W1トラフ</v>
      </c>
      <c r="M549" s="14">
        <f>VLOOKUP(L549,照明器具一覧!$B$4:$F$129,5,FALSE)</f>
        <v>36</v>
      </c>
      <c r="N549" s="14">
        <v>1</v>
      </c>
      <c r="O549" s="142">
        <f t="shared" si="17"/>
        <v>993.16800000000001</v>
      </c>
    </row>
    <row r="550" spans="1:15">
      <c r="A550" s="2" t="s">
        <v>1171</v>
      </c>
      <c r="B550" s="78" t="s">
        <v>1499</v>
      </c>
      <c r="C550" s="2"/>
      <c r="D550" s="2" t="s">
        <v>99</v>
      </c>
      <c r="E550" s="2" t="s">
        <v>600</v>
      </c>
      <c r="F550" s="2" t="s">
        <v>105</v>
      </c>
      <c r="G550" s="2" t="s">
        <v>72</v>
      </c>
      <c r="H550" s="5">
        <v>1</v>
      </c>
      <c r="I550" s="2" t="s">
        <v>73</v>
      </c>
      <c r="J550" s="2">
        <v>7</v>
      </c>
      <c r="K550" s="32">
        <f>VLOOKUP(E550,照明設備稼働時間!$A$4:$E$31,5,FALSE)</f>
        <v>2299</v>
      </c>
      <c r="L550" s="32" t="str">
        <f t="shared" si="16"/>
        <v>IL60W1ダウンライト</v>
      </c>
      <c r="M550" s="14">
        <f>VLOOKUP(L550,照明器具一覧!$B$4:$F$129,5,FALSE)</f>
        <v>60</v>
      </c>
      <c r="N550" s="14">
        <v>1</v>
      </c>
      <c r="O550" s="142">
        <f t="shared" si="17"/>
        <v>965.58</v>
      </c>
    </row>
    <row r="551" spans="1:15">
      <c r="A551" s="2" t="s">
        <v>1172</v>
      </c>
      <c r="B551" s="78" t="s">
        <v>1499</v>
      </c>
      <c r="C551" s="2"/>
      <c r="D551" s="2" t="s">
        <v>99</v>
      </c>
      <c r="E551" s="2" t="s">
        <v>600</v>
      </c>
      <c r="F551" s="2" t="s">
        <v>105</v>
      </c>
      <c r="G551" s="2" t="s">
        <v>125</v>
      </c>
      <c r="H551" s="5">
        <v>1</v>
      </c>
      <c r="I551" s="2" t="s">
        <v>126</v>
      </c>
      <c r="J551" s="2">
        <v>5</v>
      </c>
      <c r="K551" s="32">
        <f>VLOOKUP(E551,照明設備稼働時間!$A$4:$E$31,5,FALSE)</f>
        <v>2299</v>
      </c>
      <c r="L551" s="32" t="str">
        <f t="shared" si="16"/>
        <v>MF100W1150角</v>
      </c>
      <c r="M551" s="14">
        <f>VLOOKUP(L551,照明器具一覧!$B$4:$F$129,5,FALSE)</f>
        <v>100</v>
      </c>
      <c r="N551" s="14">
        <v>1</v>
      </c>
      <c r="O551" s="142">
        <f t="shared" si="17"/>
        <v>1149.5</v>
      </c>
    </row>
    <row r="552" spans="1:15">
      <c r="A552" s="2" t="s">
        <v>1173</v>
      </c>
      <c r="B552" s="78" t="s">
        <v>1499</v>
      </c>
      <c r="C552" s="2" t="s">
        <v>84</v>
      </c>
      <c r="D552" s="2" t="s">
        <v>99</v>
      </c>
      <c r="E552" s="2" t="s">
        <v>600</v>
      </c>
      <c r="F552" s="2" t="s">
        <v>102</v>
      </c>
      <c r="G552" s="2" t="s">
        <v>21</v>
      </c>
      <c r="H552" s="5">
        <v>1</v>
      </c>
      <c r="I552" s="2" t="s">
        <v>89</v>
      </c>
      <c r="J552" s="2">
        <v>8</v>
      </c>
      <c r="K552" s="32">
        <f>VLOOKUP(E552,照明設備稼働時間!$A$4:$E$31,5,FALSE)</f>
        <v>2299</v>
      </c>
      <c r="L552" s="32" t="str">
        <f t="shared" si="16"/>
        <v>FHF32W1トラフ</v>
      </c>
      <c r="M552" s="14">
        <f>VLOOKUP(L552,照明器具一覧!$B$4:$F$129,5,FALSE)</f>
        <v>36</v>
      </c>
      <c r="N552" s="14">
        <v>1</v>
      </c>
      <c r="O552" s="142">
        <f t="shared" si="17"/>
        <v>662.11199999999997</v>
      </c>
    </row>
    <row r="553" spans="1:15">
      <c r="A553" s="2" t="s">
        <v>1174</v>
      </c>
      <c r="B553" s="78" t="s">
        <v>1499</v>
      </c>
      <c r="C553" s="2"/>
      <c r="D553" s="2" t="s">
        <v>99</v>
      </c>
      <c r="E553" s="2" t="s">
        <v>600</v>
      </c>
      <c r="F553" s="2" t="s">
        <v>102</v>
      </c>
      <c r="G553" s="2" t="s">
        <v>31</v>
      </c>
      <c r="H553" s="5">
        <v>1</v>
      </c>
      <c r="I553" s="2" t="s">
        <v>73</v>
      </c>
      <c r="J553" s="2">
        <v>28</v>
      </c>
      <c r="K553" s="32">
        <f>VLOOKUP(E553,照明設備稼働時間!$A$4:$E$31,5,FALSE)</f>
        <v>2299</v>
      </c>
      <c r="L553" s="32" t="str">
        <f t="shared" si="16"/>
        <v>LED電球1ダウンライト</v>
      </c>
      <c r="M553" s="14">
        <f>VLOOKUP(L553,照明器具一覧!$B$4:$F$129,5,FALSE)</f>
        <v>10</v>
      </c>
      <c r="N553" s="14">
        <v>1</v>
      </c>
      <c r="O553" s="142">
        <f t="shared" si="17"/>
        <v>643.72</v>
      </c>
    </row>
    <row r="554" spans="1:15">
      <c r="A554" s="2" t="s">
        <v>1175</v>
      </c>
      <c r="B554" s="78" t="s">
        <v>1499</v>
      </c>
      <c r="C554" s="2" t="s">
        <v>83</v>
      </c>
      <c r="D554" s="2" t="s">
        <v>99</v>
      </c>
      <c r="E554" s="2" t="s">
        <v>601</v>
      </c>
      <c r="F554" s="2" t="s">
        <v>11</v>
      </c>
      <c r="G554" s="2" t="s">
        <v>21</v>
      </c>
      <c r="H554" s="5">
        <v>1</v>
      </c>
      <c r="I554" s="2" t="s">
        <v>89</v>
      </c>
      <c r="J554" s="2">
        <v>68</v>
      </c>
      <c r="K554" s="32">
        <f>VLOOKUP(E554,照明設備稼働時間!$A$4:$E$31,5,FALSE)</f>
        <v>2299</v>
      </c>
      <c r="L554" s="32" t="str">
        <f t="shared" si="16"/>
        <v>FHF32W1トラフ</v>
      </c>
      <c r="M554" s="14">
        <f>VLOOKUP(L554,照明器具一覧!$B$4:$F$129,5,FALSE)</f>
        <v>36</v>
      </c>
      <c r="N554" s="14">
        <v>0.33</v>
      </c>
      <c r="O554" s="142">
        <f t="shared" si="17"/>
        <v>1857.2241600000002</v>
      </c>
    </row>
    <row r="555" spans="1:15">
      <c r="A555" s="2" t="s">
        <v>1176</v>
      </c>
      <c r="B555" s="78" t="s">
        <v>1499</v>
      </c>
      <c r="C555" s="2"/>
      <c r="D555" s="2" t="s">
        <v>99</v>
      </c>
      <c r="E555" s="2" t="s">
        <v>601</v>
      </c>
      <c r="F555" s="2" t="s">
        <v>11</v>
      </c>
      <c r="G555" s="2" t="s">
        <v>72</v>
      </c>
      <c r="H555" s="5">
        <v>1</v>
      </c>
      <c r="I555" s="2" t="s">
        <v>73</v>
      </c>
      <c r="J555" s="2">
        <v>9</v>
      </c>
      <c r="K555" s="32">
        <f>VLOOKUP(E555,照明設備稼働時間!$A$4:$E$31,5,FALSE)</f>
        <v>2299</v>
      </c>
      <c r="L555" s="32" t="str">
        <f t="shared" si="16"/>
        <v>IL60W1ダウンライト</v>
      </c>
      <c r="M555" s="14">
        <f>VLOOKUP(L555,照明器具一覧!$B$4:$F$129,5,FALSE)</f>
        <v>60</v>
      </c>
      <c r="N555" s="14">
        <v>1</v>
      </c>
      <c r="O555" s="142">
        <f t="shared" si="17"/>
        <v>1241.46</v>
      </c>
    </row>
    <row r="556" spans="1:15">
      <c r="A556" s="2" t="s">
        <v>1177</v>
      </c>
      <c r="B556" s="78" t="s">
        <v>1499</v>
      </c>
      <c r="C556" s="2"/>
      <c r="D556" s="2" t="s">
        <v>99</v>
      </c>
      <c r="E556" s="2" t="s">
        <v>601</v>
      </c>
      <c r="F556" s="2" t="s">
        <v>11</v>
      </c>
      <c r="G556" s="2" t="s">
        <v>163</v>
      </c>
      <c r="H556" s="5">
        <v>1</v>
      </c>
      <c r="I556" s="2" t="s">
        <v>73</v>
      </c>
      <c r="J556" s="2">
        <v>1</v>
      </c>
      <c r="K556" s="32">
        <f>VLOOKUP(E556,照明設備稼働時間!$A$4:$E$31,5,FALSE)</f>
        <v>2299</v>
      </c>
      <c r="L556" s="32" t="str">
        <f t="shared" si="16"/>
        <v>FHT24W1ダウンライト</v>
      </c>
      <c r="M556" s="14">
        <f>VLOOKUP(L556,照明器具一覧!$B$4:$F$129,5,FALSE)</f>
        <v>27</v>
      </c>
      <c r="N556" s="14">
        <v>1</v>
      </c>
      <c r="O556" s="142">
        <f t="shared" si="17"/>
        <v>62.073</v>
      </c>
    </row>
    <row r="557" spans="1:15">
      <c r="A557" s="2" t="s">
        <v>1178</v>
      </c>
      <c r="B557" s="78" t="s">
        <v>1499</v>
      </c>
      <c r="C557" s="2"/>
      <c r="D557" s="2" t="s">
        <v>99</v>
      </c>
      <c r="E557" s="2" t="s">
        <v>601</v>
      </c>
      <c r="F557" s="2" t="s">
        <v>11</v>
      </c>
      <c r="G557" s="2" t="s">
        <v>75</v>
      </c>
      <c r="H557" s="5">
        <v>1</v>
      </c>
      <c r="I557" s="2" t="s">
        <v>76</v>
      </c>
      <c r="J557" s="2">
        <v>5</v>
      </c>
      <c r="K557" s="32">
        <f>VLOOKUP(E557,照明設備稼働時間!$A$4:$E$31,5,FALSE)</f>
        <v>2299</v>
      </c>
      <c r="L557" s="32" t="str">
        <f t="shared" si="16"/>
        <v>LED1ユニバーサルダウンライト</v>
      </c>
      <c r="M557" s="14">
        <f>VLOOKUP(L557,照明器具一覧!$B$4:$F$129,5,FALSE)</f>
        <v>10</v>
      </c>
      <c r="N557" s="14">
        <v>0.33</v>
      </c>
      <c r="O557" s="142">
        <f t="shared" si="17"/>
        <v>37.933500000000002</v>
      </c>
    </row>
    <row r="558" spans="1:15">
      <c r="A558" s="2" t="s">
        <v>1179</v>
      </c>
      <c r="B558" s="78" t="s">
        <v>1499</v>
      </c>
      <c r="C558" s="2" t="s">
        <v>28</v>
      </c>
      <c r="D558" s="2" t="s">
        <v>99</v>
      </c>
      <c r="E558" s="2" t="s">
        <v>1508</v>
      </c>
      <c r="F558" s="2" t="s">
        <v>57</v>
      </c>
      <c r="G558" s="2" t="s">
        <v>21</v>
      </c>
      <c r="H558" s="5">
        <v>1</v>
      </c>
      <c r="I558" s="2" t="s">
        <v>511</v>
      </c>
      <c r="J558" s="2">
        <v>2</v>
      </c>
      <c r="K558" s="32">
        <f>VLOOKUP(E558,照明設備稼働時間!$A$4:$E$31,5,FALSE)</f>
        <v>8760</v>
      </c>
      <c r="L558" s="32" t="str">
        <f t="shared" si="16"/>
        <v>FHF32W1埋込W190</v>
      </c>
      <c r="M558" s="14">
        <f>VLOOKUP(L558,照明器具一覧!$B$4:$F$129,5,FALSE)</f>
        <v>36</v>
      </c>
      <c r="N558" s="14">
        <v>1</v>
      </c>
      <c r="O558" s="142">
        <f t="shared" si="17"/>
        <v>630.72</v>
      </c>
    </row>
    <row r="559" spans="1:15">
      <c r="A559" s="2" t="s">
        <v>1180</v>
      </c>
      <c r="B559" s="78" t="s">
        <v>1499</v>
      </c>
      <c r="C559" s="2"/>
      <c r="D559" s="2" t="s">
        <v>99</v>
      </c>
      <c r="E559" s="2" t="s">
        <v>1508</v>
      </c>
      <c r="F559" s="2" t="s">
        <v>57</v>
      </c>
      <c r="G559" s="2" t="s">
        <v>72</v>
      </c>
      <c r="H559" s="5">
        <v>1</v>
      </c>
      <c r="I559" s="2" t="s">
        <v>73</v>
      </c>
      <c r="J559" s="2">
        <v>1</v>
      </c>
      <c r="K559" s="32">
        <f>VLOOKUP(E559,照明設備稼働時間!$A$4:$E$31,5,FALSE)</f>
        <v>8760</v>
      </c>
      <c r="L559" s="32" t="str">
        <f t="shared" si="16"/>
        <v>IL60W1ダウンライト</v>
      </c>
      <c r="M559" s="14">
        <f>VLOOKUP(L559,照明器具一覧!$B$4:$F$129,5,FALSE)</f>
        <v>60</v>
      </c>
      <c r="N559" s="14">
        <v>1</v>
      </c>
      <c r="O559" s="142">
        <f t="shared" si="17"/>
        <v>525.6</v>
      </c>
    </row>
    <row r="560" spans="1:15">
      <c r="A560" s="2" t="s">
        <v>1181</v>
      </c>
      <c r="B560" s="78" t="s">
        <v>1499</v>
      </c>
      <c r="C560" s="2" t="s">
        <v>79</v>
      </c>
      <c r="D560" s="2" t="s">
        <v>99</v>
      </c>
      <c r="E560" s="2" t="s">
        <v>601</v>
      </c>
      <c r="F560" s="2" t="s">
        <v>36</v>
      </c>
      <c r="G560" s="2" t="s">
        <v>21</v>
      </c>
      <c r="H560" s="5">
        <v>1</v>
      </c>
      <c r="I560" s="2" t="s">
        <v>554</v>
      </c>
      <c r="J560" s="2">
        <v>1</v>
      </c>
      <c r="K560" s="32">
        <f>VLOOKUP(E560,照明設備稼働時間!$A$4:$E$31,5,FALSE)</f>
        <v>2299</v>
      </c>
      <c r="L560" s="32" t="str">
        <f t="shared" si="16"/>
        <v>FHF32W1階段灯　非常灯付</v>
      </c>
      <c r="M560" s="14">
        <f>VLOOKUP(L560,照明器具一覧!$B$4:$F$129,5,FALSE)</f>
        <v>36</v>
      </c>
      <c r="N560" s="14">
        <v>1</v>
      </c>
      <c r="O560" s="142">
        <f t="shared" si="17"/>
        <v>82.763999999999996</v>
      </c>
    </row>
    <row r="561" spans="1:15">
      <c r="A561" s="2" t="s">
        <v>1182</v>
      </c>
      <c r="B561" s="78" t="s">
        <v>1499</v>
      </c>
      <c r="C561" s="2" t="s">
        <v>80</v>
      </c>
      <c r="D561" s="2" t="s">
        <v>99</v>
      </c>
      <c r="E561" s="2" t="s">
        <v>601</v>
      </c>
      <c r="F561" s="2" t="s">
        <v>36</v>
      </c>
      <c r="G561" s="2" t="s">
        <v>21</v>
      </c>
      <c r="H561" s="5">
        <v>1</v>
      </c>
      <c r="I561" s="2" t="s">
        <v>554</v>
      </c>
      <c r="J561" s="2">
        <v>1</v>
      </c>
      <c r="K561" s="32">
        <f>VLOOKUP(E561,照明設備稼働時間!$A$4:$E$31,5,FALSE)</f>
        <v>2299</v>
      </c>
      <c r="L561" s="32" t="str">
        <f t="shared" si="16"/>
        <v>FHF32W1階段灯　非常灯付</v>
      </c>
      <c r="M561" s="14">
        <f>VLOOKUP(L561,照明器具一覧!$B$4:$F$129,5,FALSE)</f>
        <v>36</v>
      </c>
      <c r="N561" s="14">
        <v>1</v>
      </c>
      <c r="O561" s="142">
        <f t="shared" si="17"/>
        <v>82.763999999999996</v>
      </c>
    </row>
    <row r="562" spans="1:15">
      <c r="A562" s="2" t="s">
        <v>1183</v>
      </c>
      <c r="B562" s="78" t="s">
        <v>1499</v>
      </c>
      <c r="C562" s="2" t="s">
        <v>512</v>
      </c>
      <c r="D562" s="2" t="s">
        <v>99</v>
      </c>
      <c r="E562" s="2" t="s">
        <v>606</v>
      </c>
      <c r="F562" s="2" t="s">
        <v>127</v>
      </c>
      <c r="G562" s="2" t="s">
        <v>21</v>
      </c>
      <c r="H562" s="5">
        <v>1</v>
      </c>
      <c r="I562" s="2" t="s">
        <v>91</v>
      </c>
      <c r="J562" s="2">
        <v>2</v>
      </c>
      <c r="K562" s="32">
        <f>VLOOKUP(E562,照明設備稼働時間!$A$4:$E$31,5,FALSE)</f>
        <v>242</v>
      </c>
      <c r="L562" s="32" t="str">
        <f t="shared" si="16"/>
        <v>FHF32W1逆富士</v>
      </c>
      <c r="M562" s="14">
        <f>VLOOKUP(L562,照明器具一覧!$B$4:$F$129,5,FALSE)</f>
        <v>36</v>
      </c>
      <c r="N562" s="14">
        <v>1</v>
      </c>
      <c r="O562" s="142">
        <f t="shared" si="17"/>
        <v>17.423999999999999</v>
      </c>
    </row>
    <row r="563" spans="1:15">
      <c r="A563" s="2" t="s">
        <v>1184</v>
      </c>
      <c r="B563" s="78" t="s">
        <v>1499</v>
      </c>
      <c r="C563" s="2" t="s">
        <v>85</v>
      </c>
      <c r="D563" s="2" t="s">
        <v>99</v>
      </c>
      <c r="E563" s="2" t="s">
        <v>1507</v>
      </c>
      <c r="F563" s="2" t="s">
        <v>38</v>
      </c>
      <c r="G563" s="2" t="s">
        <v>21</v>
      </c>
      <c r="H563" s="5">
        <v>1</v>
      </c>
      <c r="I563" s="2" t="s">
        <v>513</v>
      </c>
      <c r="J563" s="2">
        <v>1</v>
      </c>
      <c r="K563" s="32">
        <f>VLOOKUP(E563,照明設備稼働時間!$A$4:$E$31,5,FALSE)</f>
        <v>0</v>
      </c>
      <c r="L563" s="32" t="str">
        <f t="shared" si="16"/>
        <v>FHF32W1片反射笠付</v>
      </c>
      <c r="M563" s="14">
        <f>VLOOKUP(L563,照明器具一覧!$B$4:$F$129,5,FALSE)</f>
        <v>36</v>
      </c>
      <c r="N563" s="14">
        <v>1</v>
      </c>
      <c r="O563" s="142">
        <f t="shared" si="17"/>
        <v>0</v>
      </c>
    </row>
    <row r="564" spans="1:15">
      <c r="A564" s="2" t="s">
        <v>1185</v>
      </c>
      <c r="B564" s="78" t="s">
        <v>1499</v>
      </c>
      <c r="C564" s="2" t="s">
        <v>86</v>
      </c>
      <c r="D564" s="2" t="s">
        <v>99</v>
      </c>
      <c r="E564" s="2" t="s">
        <v>601</v>
      </c>
      <c r="F564" s="2" t="s">
        <v>39</v>
      </c>
      <c r="G564" s="2" t="s">
        <v>19</v>
      </c>
      <c r="H564" s="5">
        <v>1</v>
      </c>
      <c r="I564" s="2" t="s">
        <v>93</v>
      </c>
      <c r="J564" s="2">
        <v>1</v>
      </c>
      <c r="K564" s="32">
        <f>VLOOKUP(E564,照明設備稼働時間!$A$4:$E$31,5,FALSE)</f>
        <v>2299</v>
      </c>
      <c r="L564" s="32" t="str">
        <f t="shared" si="16"/>
        <v>FHF16W1埋込　高出力</v>
      </c>
      <c r="M564" s="14">
        <f>VLOOKUP(L564,照明器具一覧!$B$4:$F$129,5,FALSE)</f>
        <v>26</v>
      </c>
      <c r="N564" s="14">
        <v>0.33</v>
      </c>
      <c r="O564" s="142">
        <f t="shared" si="17"/>
        <v>19.725420000000003</v>
      </c>
    </row>
    <row r="565" spans="1:15">
      <c r="A565" s="2" t="s">
        <v>1186</v>
      </c>
      <c r="B565" s="78" t="s">
        <v>1499</v>
      </c>
      <c r="C565" s="2" t="s">
        <v>20</v>
      </c>
      <c r="D565" s="2" t="s">
        <v>99</v>
      </c>
      <c r="E565" s="29" t="s">
        <v>1513</v>
      </c>
      <c r="F565" s="2" t="s">
        <v>106</v>
      </c>
      <c r="G565" s="2" t="s">
        <v>21</v>
      </c>
      <c r="H565" s="5">
        <v>1</v>
      </c>
      <c r="I565" s="2" t="s">
        <v>91</v>
      </c>
      <c r="J565" s="2">
        <v>1</v>
      </c>
      <c r="K565" s="32">
        <f>VLOOKUP(E565,照明設備稼働時間!$A$4:$E$31,5,FALSE)</f>
        <v>484</v>
      </c>
      <c r="L565" s="32" t="str">
        <f t="shared" si="16"/>
        <v>FHF32W1逆富士</v>
      </c>
      <c r="M565" s="14">
        <f>VLOOKUP(L565,照明器具一覧!$B$4:$F$129,5,FALSE)</f>
        <v>36</v>
      </c>
      <c r="N565" s="14">
        <v>1</v>
      </c>
      <c r="O565" s="142">
        <f t="shared" si="17"/>
        <v>17.423999999999999</v>
      </c>
    </row>
    <row r="566" spans="1:15">
      <c r="A566" s="2" t="s">
        <v>1187</v>
      </c>
      <c r="B566" s="78" t="s">
        <v>1499</v>
      </c>
      <c r="C566" s="2" t="s">
        <v>81</v>
      </c>
      <c r="D566" s="2" t="s">
        <v>99</v>
      </c>
      <c r="E566" s="2" t="s">
        <v>600</v>
      </c>
      <c r="F566" s="2" t="s">
        <v>107</v>
      </c>
      <c r="G566" s="2" t="s">
        <v>21</v>
      </c>
      <c r="H566" s="5">
        <v>2</v>
      </c>
      <c r="I566" s="2" t="s">
        <v>56</v>
      </c>
      <c r="J566" s="2">
        <v>16</v>
      </c>
      <c r="K566" s="32">
        <f>VLOOKUP(E566,照明設備稼働時間!$A$4:$E$31,5,FALSE)</f>
        <v>2299</v>
      </c>
      <c r="L566" s="32" t="str">
        <f t="shared" si="16"/>
        <v>FHF32W2システム天井</v>
      </c>
      <c r="M566" s="14">
        <f>VLOOKUP(L566,照明器具一覧!$B$4:$F$129,5,FALSE)</f>
        <v>72</v>
      </c>
      <c r="N566" s="14">
        <v>1</v>
      </c>
      <c r="O566" s="142">
        <f t="shared" si="17"/>
        <v>2648.4479999999999</v>
      </c>
    </row>
    <row r="567" spans="1:15">
      <c r="A567" s="2" t="s">
        <v>1188</v>
      </c>
      <c r="B567" s="78" t="s">
        <v>1499</v>
      </c>
      <c r="C567" s="2"/>
      <c r="D567" s="2" t="s">
        <v>99</v>
      </c>
      <c r="E567" s="2" t="s">
        <v>601</v>
      </c>
      <c r="F567" s="2" t="s">
        <v>128</v>
      </c>
      <c r="G567" s="2" t="s">
        <v>72</v>
      </c>
      <c r="H567" s="5">
        <v>1</v>
      </c>
      <c r="I567" s="2" t="s">
        <v>73</v>
      </c>
      <c r="J567" s="2">
        <v>29</v>
      </c>
      <c r="K567" s="32">
        <f>VLOOKUP(E567,照明設備稼働時間!$A$4:$E$31,5,FALSE)</f>
        <v>2299</v>
      </c>
      <c r="L567" s="32" t="str">
        <f t="shared" si="16"/>
        <v>IL60W1ダウンライト</v>
      </c>
      <c r="M567" s="14">
        <f>VLOOKUP(L567,照明器具一覧!$B$4:$F$129,5,FALSE)</f>
        <v>60</v>
      </c>
      <c r="N567" s="14">
        <v>0.5</v>
      </c>
      <c r="O567" s="142">
        <f t="shared" si="17"/>
        <v>2000.13</v>
      </c>
    </row>
    <row r="568" spans="1:15">
      <c r="A568" s="2" t="s">
        <v>1189</v>
      </c>
      <c r="B568" s="78" t="s">
        <v>1499</v>
      </c>
      <c r="C568" s="2" t="s">
        <v>507</v>
      </c>
      <c r="D568" s="2" t="s">
        <v>99</v>
      </c>
      <c r="E568" s="2" t="s">
        <v>600</v>
      </c>
      <c r="F568" s="2" t="s">
        <v>108</v>
      </c>
      <c r="G568" s="2" t="s">
        <v>21</v>
      </c>
      <c r="H568" s="5">
        <v>6</v>
      </c>
      <c r="I568" s="2" t="s">
        <v>379</v>
      </c>
      <c r="J568" s="2">
        <v>2</v>
      </c>
      <c r="K568" s="32">
        <f>VLOOKUP(E568,照明設備稼働時間!$A$4:$E$31,5,FALSE)</f>
        <v>2299</v>
      </c>
      <c r="L568" s="32" t="str">
        <f t="shared" si="16"/>
        <v>FHF32W6スクエア</v>
      </c>
      <c r="M568" s="14">
        <f>VLOOKUP(L568,照明器具一覧!$B$4:$F$129,5,FALSE)</f>
        <v>213</v>
      </c>
      <c r="N568" s="14">
        <v>1</v>
      </c>
      <c r="O568" s="142">
        <f t="shared" si="17"/>
        <v>979.37400000000002</v>
      </c>
    </row>
    <row r="569" spans="1:15">
      <c r="A569" s="2" t="s">
        <v>1190</v>
      </c>
      <c r="B569" s="78" t="s">
        <v>1499</v>
      </c>
      <c r="C569" s="2" t="s">
        <v>84</v>
      </c>
      <c r="D569" s="2" t="s">
        <v>99</v>
      </c>
      <c r="E569" s="2" t="s">
        <v>600</v>
      </c>
      <c r="F569" s="2" t="s">
        <v>108</v>
      </c>
      <c r="G569" s="2" t="s">
        <v>21</v>
      </c>
      <c r="H569" s="5">
        <v>1</v>
      </c>
      <c r="I569" s="2" t="s">
        <v>89</v>
      </c>
      <c r="J569" s="2">
        <v>1</v>
      </c>
      <c r="K569" s="32">
        <f>VLOOKUP(E569,照明設備稼働時間!$A$4:$E$31,5,FALSE)</f>
        <v>2299</v>
      </c>
      <c r="L569" s="32" t="str">
        <f t="shared" si="16"/>
        <v>FHF32W1トラフ</v>
      </c>
      <c r="M569" s="14">
        <f>VLOOKUP(L569,照明器具一覧!$B$4:$F$129,5,FALSE)</f>
        <v>36</v>
      </c>
      <c r="N569" s="14">
        <v>1</v>
      </c>
      <c r="O569" s="142">
        <f t="shared" si="17"/>
        <v>82.763999999999996</v>
      </c>
    </row>
    <row r="570" spans="1:15">
      <c r="A570" s="2" t="s">
        <v>1191</v>
      </c>
      <c r="B570" s="78" t="s">
        <v>1499</v>
      </c>
      <c r="C570" s="2" t="s">
        <v>514</v>
      </c>
      <c r="D570" s="2" t="s">
        <v>99</v>
      </c>
      <c r="E570" s="2" t="s">
        <v>600</v>
      </c>
      <c r="F570" s="2" t="s">
        <v>108</v>
      </c>
      <c r="G570" s="2" t="s">
        <v>19</v>
      </c>
      <c r="H570" s="5">
        <v>1</v>
      </c>
      <c r="I570" s="2" t="s">
        <v>89</v>
      </c>
      <c r="J570" s="2">
        <v>1</v>
      </c>
      <c r="K570" s="32">
        <f>VLOOKUP(E570,照明設備稼働時間!$A$4:$E$31,5,FALSE)</f>
        <v>2299</v>
      </c>
      <c r="L570" s="32" t="str">
        <f t="shared" si="16"/>
        <v>FHF16W1トラフ</v>
      </c>
      <c r="M570" s="14">
        <f>VLOOKUP(L570,照明器具一覧!$B$4:$F$129,5,FALSE)</f>
        <v>26</v>
      </c>
      <c r="N570" s="14">
        <v>1</v>
      </c>
      <c r="O570" s="142">
        <f t="shared" si="17"/>
        <v>59.774000000000001</v>
      </c>
    </row>
    <row r="571" spans="1:15">
      <c r="A571" s="2" t="s">
        <v>1192</v>
      </c>
      <c r="B571" s="78" t="s">
        <v>1499</v>
      </c>
      <c r="C571" s="2"/>
      <c r="D571" s="2" t="s">
        <v>99</v>
      </c>
      <c r="E571" s="2" t="s">
        <v>600</v>
      </c>
      <c r="F571" s="2" t="s">
        <v>108</v>
      </c>
      <c r="G571" s="2" t="s">
        <v>72</v>
      </c>
      <c r="H571" s="5">
        <v>1</v>
      </c>
      <c r="I571" s="2" t="s">
        <v>73</v>
      </c>
      <c r="J571" s="2">
        <v>9</v>
      </c>
      <c r="K571" s="32">
        <f>VLOOKUP(E571,照明設備稼働時間!$A$4:$E$31,5,FALSE)</f>
        <v>2299</v>
      </c>
      <c r="L571" s="32" t="str">
        <f t="shared" si="16"/>
        <v>IL60W1ダウンライト</v>
      </c>
      <c r="M571" s="14">
        <f>VLOOKUP(L571,照明器具一覧!$B$4:$F$129,5,FALSE)</f>
        <v>60</v>
      </c>
      <c r="N571" s="14">
        <v>1</v>
      </c>
      <c r="O571" s="142">
        <f t="shared" si="17"/>
        <v>1241.46</v>
      </c>
    </row>
    <row r="572" spans="1:15">
      <c r="A572" s="2" t="s">
        <v>1193</v>
      </c>
      <c r="B572" s="78" t="s">
        <v>1499</v>
      </c>
      <c r="C572" s="2" t="s">
        <v>507</v>
      </c>
      <c r="D572" s="2" t="s">
        <v>99</v>
      </c>
      <c r="E572" s="2" t="s">
        <v>600</v>
      </c>
      <c r="F572" s="2" t="s">
        <v>108</v>
      </c>
      <c r="G572" s="2" t="s">
        <v>21</v>
      </c>
      <c r="H572" s="5">
        <v>6</v>
      </c>
      <c r="I572" s="2" t="s">
        <v>379</v>
      </c>
      <c r="J572" s="2">
        <v>2</v>
      </c>
      <c r="K572" s="32">
        <f>VLOOKUP(E572,照明設備稼働時間!$A$4:$E$31,5,FALSE)</f>
        <v>2299</v>
      </c>
      <c r="L572" s="32" t="str">
        <f t="shared" si="16"/>
        <v>FHF32W6スクエア</v>
      </c>
      <c r="M572" s="14">
        <f>VLOOKUP(L572,照明器具一覧!$B$4:$F$129,5,FALSE)</f>
        <v>213</v>
      </c>
      <c r="N572" s="14">
        <v>1</v>
      </c>
      <c r="O572" s="142">
        <f t="shared" si="17"/>
        <v>979.37400000000002</v>
      </c>
    </row>
    <row r="573" spans="1:15">
      <c r="A573" s="2" t="s">
        <v>1194</v>
      </c>
      <c r="B573" s="78" t="s">
        <v>1499</v>
      </c>
      <c r="C573" s="2" t="s">
        <v>84</v>
      </c>
      <c r="D573" s="2" t="s">
        <v>99</v>
      </c>
      <c r="E573" s="2" t="s">
        <v>600</v>
      </c>
      <c r="F573" s="2" t="s">
        <v>108</v>
      </c>
      <c r="G573" s="2" t="s">
        <v>21</v>
      </c>
      <c r="H573" s="5">
        <v>1</v>
      </c>
      <c r="I573" s="2" t="s">
        <v>89</v>
      </c>
      <c r="J573" s="2">
        <v>1</v>
      </c>
      <c r="K573" s="32">
        <f>VLOOKUP(E573,照明設備稼働時間!$A$4:$E$31,5,FALSE)</f>
        <v>2299</v>
      </c>
      <c r="L573" s="32" t="str">
        <f t="shared" si="16"/>
        <v>FHF32W1トラフ</v>
      </c>
      <c r="M573" s="14">
        <f>VLOOKUP(L573,照明器具一覧!$B$4:$F$129,5,FALSE)</f>
        <v>36</v>
      </c>
      <c r="N573" s="14">
        <v>1</v>
      </c>
      <c r="O573" s="142">
        <f t="shared" si="17"/>
        <v>82.763999999999996</v>
      </c>
    </row>
    <row r="574" spans="1:15">
      <c r="A574" s="2" t="s">
        <v>1195</v>
      </c>
      <c r="B574" s="78" t="s">
        <v>1499</v>
      </c>
      <c r="C574" s="2" t="s">
        <v>514</v>
      </c>
      <c r="D574" s="2" t="s">
        <v>99</v>
      </c>
      <c r="E574" s="2" t="s">
        <v>600</v>
      </c>
      <c r="F574" s="2" t="s">
        <v>108</v>
      </c>
      <c r="G574" s="2" t="s">
        <v>19</v>
      </c>
      <c r="H574" s="5">
        <v>1</v>
      </c>
      <c r="I574" s="2" t="s">
        <v>89</v>
      </c>
      <c r="J574" s="2">
        <v>1</v>
      </c>
      <c r="K574" s="32">
        <f>VLOOKUP(E574,照明設備稼働時間!$A$4:$E$31,5,FALSE)</f>
        <v>2299</v>
      </c>
      <c r="L574" s="32" t="str">
        <f t="shared" si="16"/>
        <v>FHF16W1トラフ</v>
      </c>
      <c r="M574" s="14">
        <f>VLOOKUP(L574,照明器具一覧!$B$4:$F$129,5,FALSE)</f>
        <v>26</v>
      </c>
      <c r="N574" s="14">
        <v>1</v>
      </c>
      <c r="O574" s="142">
        <f t="shared" si="17"/>
        <v>59.774000000000001</v>
      </c>
    </row>
    <row r="575" spans="1:15">
      <c r="A575" s="2" t="s">
        <v>1196</v>
      </c>
      <c r="B575" s="78" t="s">
        <v>1499</v>
      </c>
      <c r="C575" s="2"/>
      <c r="D575" s="2" t="s">
        <v>99</v>
      </c>
      <c r="E575" s="2" t="s">
        <v>600</v>
      </c>
      <c r="F575" s="2" t="s">
        <v>108</v>
      </c>
      <c r="G575" s="2" t="s">
        <v>72</v>
      </c>
      <c r="H575" s="5">
        <v>1</v>
      </c>
      <c r="I575" s="2" t="s">
        <v>73</v>
      </c>
      <c r="J575" s="2">
        <v>9</v>
      </c>
      <c r="K575" s="32">
        <f>VLOOKUP(E575,照明設備稼働時間!$A$4:$E$31,5,FALSE)</f>
        <v>2299</v>
      </c>
      <c r="L575" s="32" t="str">
        <f t="shared" si="16"/>
        <v>IL60W1ダウンライト</v>
      </c>
      <c r="M575" s="14">
        <f>VLOOKUP(L575,照明器具一覧!$B$4:$F$129,5,FALSE)</f>
        <v>60</v>
      </c>
      <c r="N575" s="14">
        <v>1</v>
      </c>
      <c r="O575" s="142">
        <f t="shared" si="17"/>
        <v>1241.46</v>
      </c>
    </row>
    <row r="576" spans="1:15">
      <c r="A576" s="2" t="s">
        <v>1197</v>
      </c>
      <c r="B576" s="78" t="s">
        <v>1499</v>
      </c>
      <c r="C576" s="2" t="s">
        <v>515</v>
      </c>
      <c r="D576" s="2" t="s">
        <v>99</v>
      </c>
      <c r="E576" s="2" t="s">
        <v>612</v>
      </c>
      <c r="F576" s="2" t="s">
        <v>109</v>
      </c>
      <c r="G576" s="2" t="s">
        <v>21</v>
      </c>
      <c r="H576" s="5">
        <v>2</v>
      </c>
      <c r="I576" s="2" t="s">
        <v>88</v>
      </c>
      <c r="J576" s="2">
        <v>9</v>
      </c>
      <c r="K576" s="32">
        <f>VLOOKUP(E576,照明設備稼働時間!$A$4:$E$31,5,FALSE)</f>
        <v>484</v>
      </c>
      <c r="L576" s="32" t="str">
        <f t="shared" si="16"/>
        <v>FHF32W2笠付</v>
      </c>
      <c r="M576" s="14">
        <f>VLOOKUP(L576,照明器具一覧!$B$4:$F$129,5,FALSE)</f>
        <v>36</v>
      </c>
      <c r="N576" s="14">
        <v>1</v>
      </c>
      <c r="O576" s="142">
        <f t="shared" si="17"/>
        <v>156.816</v>
      </c>
    </row>
    <row r="577" spans="1:15">
      <c r="A577" s="2" t="s">
        <v>1198</v>
      </c>
      <c r="B577" s="78" t="s">
        <v>1499</v>
      </c>
      <c r="C577" s="2" t="s">
        <v>82</v>
      </c>
      <c r="D577" s="2" t="s">
        <v>99</v>
      </c>
      <c r="E577" s="2" t="s">
        <v>612</v>
      </c>
      <c r="F577" s="2" t="s">
        <v>109</v>
      </c>
      <c r="G577" s="2" t="s">
        <v>21</v>
      </c>
      <c r="H577" s="5">
        <v>1</v>
      </c>
      <c r="I577" s="2" t="s">
        <v>88</v>
      </c>
      <c r="J577" s="2">
        <v>10</v>
      </c>
      <c r="K577" s="32">
        <f>VLOOKUP(E577,照明設備稼働時間!$A$4:$E$31,5,FALSE)</f>
        <v>484</v>
      </c>
      <c r="L577" s="32" t="str">
        <f t="shared" si="16"/>
        <v>FHF32W1笠付</v>
      </c>
      <c r="M577" s="14">
        <f>VLOOKUP(L577,照明器具一覧!$B$4:$F$129,5,FALSE)</f>
        <v>36</v>
      </c>
      <c r="N577" s="14">
        <v>1</v>
      </c>
      <c r="O577" s="142">
        <f t="shared" si="17"/>
        <v>174.24</v>
      </c>
    </row>
    <row r="578" spans="1:15">
      <c r="A578" s="2" t="s">
        <v>1199</v>
      </c>
      <c r="B578" s="78" t="s">
        <v>1499</v>
      </c>
      <c r="C578" s="2" t="s">
        <v>516</v>
      </c>
      <c r="D578" s="2" t="s">
        <v>99</v>
      </c>
      <c r="E578" s="2" t="s">
        <v>600</v>
      </c>
      <c r="F578" s="2" t="s">
        <v>105</v>
      </c>
      <c r="G578" s="2" t="s">
        <v>21</v>
      </c>
      <c r="H578" s="5">
        <v>18</v>
      </c>
      <c r="I578" s="2" t="s">
        <v>517</v>
      </c>
      <c r="J578" s="2">
        <v>3</v>
      </c>
      <c r="K578" s="32">
        <f>VLOOKUP(E578,照明設備稼働時間!$A$4:$E$31,5,FALSE)</f>
        <v>2299</v>
      </c>
      <c r="L578" s="32" t="str">
        <f t="shared" si="16"/>
        <v>FHF32W18スクエア 埋込ルーバ3連結</v>
      </c>
      <c r="M578" s="14">
        <f>VLOOKUP(L578,照明器具一覧!$B$4:$F$129,5,FALSE)</f>
        <v>648</v>
      </c>
      <c r="N578" s="14">
        <v>1</v>
      </c>
      <c r="O578" s="142">
        <f t="shared" si="17"/>
        <v>4469.2560000000003</v>
      </c>
    </row>
    <row r="579" spans="1:15">
      <c r="A579" s="2" t="s">
        <v>1200</v>
      </c>
      <c r="B579" s="78" t="s">
        <v>1499</v>
      </c>
      <c r="C579" s="2"/>
      <c r="D579" s="2" t="s">
        <v>99</v>
      </c>
      <c r="E579" s="2" t="s">
        <v>600</v>
      </c>
      <c r="F579" s="2" t="s">
        <v>105</v>
      </c>
      <c r="G579" s="2" t="s">
        <v>72</v>
      </c>
      <c r="H579" s="5">
        <v>1</v>
      </c>
      <c r="I579" s="2" t="s">
        <v>73</v>
      </c>
      <c r="J579" s="2">
        <v>12</v>
      </c>
      <c r="K579" s="32">
        <f>VLOOKUP(E579,照明設備稼働時間!$A$4:$E$31,5,FALSE)</f>
        <v>2299</v>
      </c>
      <c r="L579" s="32" t="str">
        <f t="shared" si="16"/>
        <v>IL60W1ダウンライト</v>
      </c>
      <c r="M579" s="14">
        <f>VLOOKUP(L579,照明器具一覧!$B$4:$F$129,5,FALSE)</f>
        <v>60</v>
      </c>
      <c r="N579" s="14">
        <v>1</v>
      </c>
      <c r="O579" s="142">
        <f t="shared" si="17"/>
        <v>1655.28</v>
      </c>
    </row>
    <row r="580" spans="1:15">
      <c r="A580" s="2" t="s">
        <v>1201</v>
      </c>
      <c r="B580" s="78" t="s">
        <v>1499</v>
      </c>
      <c r="C580" s="2" t="s">
        <v>81</v>
      </c>
      <c r="D580" s="2" t="s">
        <v>99</v>
      </c>
      <c r="E580" s="2" t="s">
        <v>600</v>
      </c>
      <c r="F580" s="2" t="s">
        <v>110</v>
      </c>
      <c r="G580" s="2" t="s">
        <v>21</v>
      </c>
      <c r="H580" s="5">
        <v>2</v>
      </c>
      <c r="I580" s="2" t="s">
        <v>56</v>
      </c>
      <c r="J580" s="2">
        <v>12</v>
      </c>
      <c r="K580" s="32">
        <f>VLOOKUP(E580,照明設備稼働時間!$A$4:$E$31,5,FALSE)</f>
        <v>2299</v>
      </c>
      <c r="L580" s="32" t="str">
        <f t="shared" ref="L580:L643" si="18">G580&amp;H580&amp;I580</f>
        <v>FHF32W2システム天井</v>
      </c>
      <c r="M580" s="14">
        <f>VLOOKUP(L580,照明器具一覧!$B$4:$F$129,5,FALSE)</f>
        <v>72</v>
      </c>
      <c r="N580" s="14">
        <v>1</v>
      </c>
      <c r="O580" s="142">
        <f t="shared" si="17"/>
        <v>1986.336</v>
      </c>
    </row>
    <row r="581" spans="1:15">
      <c r="A581" s="2" t="s">
        <v>1202</v>
      </c>
      <c r="B581" s="78" t="s">
        <v>1499</v>
      </c>
      <c r="C581" s="2" t="s">
        <v>330</v>
      </c>
      <c r="D581" s="2" t="s">
        <v>99</v>
      </c>
      <c r="E581" s="2" t="s">
        <v>600</v>
      </c>
      <c r="F581" s="2" t="s">
        <v>110</v>
      </c>
      <c r="G581" s="2" t="s">
        <v>21</v>
      </c>
      <c r="H581" s="5">
        <v>2</v>
      </c>
      <c r="I581" s="2" t="s">
        <v>509</v>
      </c>
      <c r="J581" s="2">
        <v>2</v>
      </c>
      <c r="K581" s="32">
        <f>VLOOKUP(E581,照明設備稼働時間!$A$4:$E$31,5,FALSE)</f>
        <v>2299</v>
      </c>
      <c r="L581" s="32" t="str">
        <f t="shared" si="18"/>
        <v>FHF32W2埋込W300</v>
      </c>
      <c r="M581" s="14">
        <f>VLOOKUP(L581,照明器具一覧!$B$4:$F$129,5,FALSE)</f>
        <v>71</v>
      </c>
      <c r="N581" s="14">
        <v>1</v>
      </c>
      <c r="O581" s="142">
        <f t="shared" ref="O581:O644" si="19">(M581*J581*K581*N581)/1000</f>
        <v>326.45800000000003</v>
      </c>
    </row>
    <row r="582" spans="1:15">
      <c r="A582" s="2" t="s">
        <v>1203</v>
      </c>
      <c r="B582" s="78" t="s">
        <v>1499</v>
      </c>
      <c r="C582" s="2" t="s">
        <v>84</v>
      </c>
      <c r="D582" s="2" t="s">
        <v>99</v>
      </c>
      <c r="E582" s="2" t="s">
        <v>606</v>
      </c>
      <c r="F582" s="2" t="s">
        <v>111</v>
      </c>
      <c r="G582" s="2" t="s">
        <v>21</v>
      </c>
      <c r="H582" s="5">
        <v>1</v>
      </c>
      <c r="I582" s="2" t="s">
        <v>89</v>
      </c>
      <c r="J582" s="2">
        <v>2</v>
      </c>
      <c r="K582" s="32">
        <f>VLOOKUP(E582,照明設備稼働時間!$A$4:$E$31,5,FALSE)</f>
        <v>242</v>
      </c>
      <c r="L582" s="32" t="str">
        <f t="shared" si="18"/>
        <v>FHF32W1トラフ</v>
      </c>
      <c r="M582" s="14">
        <f>VLOOKUP(L582,照明器具一覧!$B$4:$F$129,5,FALSE)</f>
        <v>36</v>
      </c>
      <c r="N582" s="14">
        <v>1</v>
      </c>
      <c r="O582" s="142">
        <f t="shared" si="19"/>
        <v>17.423999999999999</v>
      </c>
    </row>
    <row r="583" spans="1:15">
      <c r="A583" s="2" t="s">
        <v>1204</v>
      </c>
      <c r="B583" s="78" t="s">
        <v>1499</v>
      </c>
      <c r="C583" s="2"/>
      <c r="D583" s="2" t="s">
        <v>99</v>
      </c>
      <c r="E583" s="2" t="s">
        <v>606</v>
      </c>
      <c r="F583" s="2" t="s">
        <v>111</v>
      </c>
      <c r="G583" s="2" t="s">
        <v>72</v>
      </c>
      <c r="H583" s="5">
        <v>1</v>
      </c>
      <c r="I583" s="2" t="s">
        <v>73</v>
      </c>
      <c r="J583" s="2">
        <v>1</v>
      </c>
      <c r="K583" s="32">
        <f>VLOOKUP(E583,照明設備稼働時間!$A$4:$E$31,5,FALSE)</f>
        <v>242</v>
      </c>
      <c r="L583" s="32" t="str">
        <f t="shared" si="18"/>
        <v>IL60W1ダウンライト</v>
      </c>
      <c r="M583" s="14">
        <f>VLOOKUP(L583,照明器具一覧!$B$4:$F$129,5,FALSE)</f>
        <v>60</v>
      </c>
      <c r="N583" s="14">
        <v>1</v>
      </c>
      <c r="O583" s="142">
        <f t="shared" si="19"/>
        <v>14.52</v>
      </c>
    </row>
    <row r="584" spans="1:15">
      <c r="A584" s="2" t="s">
        <v>1205</v>
      </c>
      <c r="B584" s="78" t="s">
        <v>1499</v>
      </c>
      <c r="C584" s="2"/>
      <c r="D584" s="2" t="s">
        <v>99</v>
      </c>
      <c r="E584" s="2" t="s">
        <v>606</v>
      </c>
      <c r="F584" s="2" t="s">
        <v>111</v>
      </c>
      <c r="G584" s="2" t="s">
        <v>164</v>
      </c>
      <c r="H584" s="5">
        <v>1</v>
      </c>
      <c r="I584" s="2" t="s">
        <v>165</v>
      </c>
      <c r="J584" s="2">
        <v>1</v>
      </c>
      <c r="K584" s="32">
        <f>VLOOKUP(E584,照明設備稼働時間!$A$4:$E$31,5,FALSE)</f>
        <v>242</v>
      </c>
      <c r="L584" s="32" t="str">
        <f t="shared" si="18"/>
        <v>FL20W1表示灯</v>
      </c>
      <c r="M584" s="14">
        <f>VLOOKUP(L584,照明器具一覧!$B$4:$F$129,5,FALSE)</f>
        <v>22</v>
      </c>
      <c r="N584" s="14">
        <v>1</v>
      </c>
      <c r="O584" s="142">
        <f t="shared" si="19"/>
        <v>5.3239999999999998</v>
      </c>
    </row>
    <row r="585" spans="1:15">
      <c r="A585" s="2" t="s">
        <v>1206</v>
      </c>
      <c r="B585" s="78" t="s">
        <v>1499</v>
      </c>
      <c r="C585" s="2" t="s">
        <v>519</v>
      </c>
      <c r="D585" s="2" t="s">
        <v>99</v>
      </c>
      <c r="E585" s="29" t="s">
        <v>1513</v>
      </c>
      <c r="F585" s="2" t="s">
        <v>112</v>
      </c>
      <c r="G585" s="2" t="s">
        <v>21</v>
      </c>
      <c r="H585" s="5">
        <v>2</v>
      </c>
      <c r="I585" s="2" t="s">
        <v>91</v>
      </c>
      <c r="J585" s="2">
        <v>1</v>
      </c>
      <c r="K585" s="32">
        <f>VLOOKUP(E585,照明設備稼働時間!$A$4:$E$31,5,FALSE)</f>
        <v>484</v>
      </c>
      <c r="L585" s="32" t="str">
        <f t="shared" si="18"/>
        <v>FHF32W2逆富士</v>
      </c>
      <c r="M585" s="14">
        <f>VLOOKUP(L585,照明器具一覧!$B$4:$F$129,5,FALSE)</f>
        <v>72</v>
      </c>
      <c r="N585" s="14">
        <v>1</v>
      </c>
      <c r="O585" s="142">
        <f t="shared" si="19"/>
        <v>34.847999999999999</v>
      </c>
    </row>
    <row r="586" spans="1:15">
      <c r="A586" s="2" t="s">
        <v>1207</v>
      </c>
      <c r="B586" s="78" t="s">
        <v>1499</v>
      </c>
      <c r="C586" s="2" t="s">
        <v>81</v>
      </c>
      <c r="D586" s="2" t="s">
        <v>99</v>
      </c>
      <c r="E586" s="2" t="s">
        <v>1511</v>
      </c>
      <c r="F586" s="2" t="s">
        <v>113</v>
      </c>
      <c r="G586" s="2" t="s">
        <v>21</v>
      </c>
      <c r="H586" s="5">
        <v>2</v>
      </c>
      <c r="I586" s="2" t="s">
        <v>56</v>
      </c>
      <c r="J586" s="2">
        <v>16</v>
      </c>
      <c r="K586" s="32">
        <f>VLOOKUP(E586,照明設備稼働時間!$A$4:$E$31,5,FALSE)</f>
        <v>589</v>
      </c>
      <c r="L586" s="32" t="str">
        <f t="shared" si="18"/>
        <v>FHF32W2システム天井</v>
      </c>
      <c r="M586" s="14">
        <f>VLOOKUP(L586,照明器具一覧!$B$4:$F$129,5,FALSE)</f>
        <v>72</v>
      </c>
      <c r="N586" s="14">
        <v>1</v>
      </c>
      <c r="O586" s="142">
        <f t="shared" si="19"/>
        <v>678.52800000000002</v>
      </c>
    </row>
    <row r="587" spans="1:15">
      <c r="A587" s="2" t="s">
        <v>1208</v>
      </c>
      <c r="B587" s="78" t="s">
        <v>1499</v>
      </c>
      <c r="C587" s="2" t="s">
        <v>520</v>
      </c>
      <c r="D587" s="2" t="s">
        <v>99</v>
      </c>
      <c r="E587" s="2" t="s">
        <v>1511</v>
      </c>
      <c r="F587" s="2" t="s">
        <v>113</v>
      </c>
      <c r="G587" s="2" t="s">
        <v>19</v>
      </c>
      <c r="H587" s="5">
        <v>2</v>
      </c>
      <c r="I587" s="2" t="s">
        <v>56</v>
      </c>
      <c r="J587" s="2">
        <v>4</v>
      </c>
      <c r="K587" s="32">
        <f>VLOOKUP(E587,照明設備稼働時間!$A$4:$E$31,5,FALSE)</f>
        <v>589</v>
      </c>
      <c r="L587" s="32" t="str">
        <f t="shared" si="18"/>
        <v>FHF16W2システム天井</v>
      </c>
      <c r="M587" s="14">
        <f>VLOOKUP(L587,照明器具一覧!$B$4:$F$129,5,FALSE)</f>
        <v>26</v>
      </c>
      <c r="N587" s="14">
        <v>1</v>
      </c>
      <c r="O587" s="142">
        <f t="shared" si="19"/>
        <v>61.256</v>
      </c>
    </row>
    <row r="588" spans="1:15">
      <c r="A588" s="2" t="s">
        <v>1209</v>
      </c>
      <c r="B588" s="78" t="s">
        <v>1499</v>
      </c>
      <c r="C588" s="2"/>
      <c r="D588" s="2" t="s">
        <v>99</v>
      </c>
      <c r="E588" s="2" t="s">
        <v>1511</v>
      </c>
      <c r="F588" s="2" t="s">
        <v>113</v>
      </c>
      <c r="G588" s="2" t="s">
        <v>164</v>
      </c>
      <c r="H588" s="5">
        <v>1</v>
      </c>
      <c r="I588" s="2" t="s">
        <v>521</v>
      </c>
      <c r="J588" s="2">
        <v>17</v>
      </c>
      <c r="K588" s="32">
        <f>VLOOKUP(E588,照明設備稼働時間!$A$4:$E$31,5,FALSE)</f>
        <v>589</v>
      </c>
      <c r="L588" s="32" t="str">
        <f t="shared" si="18"/>
        <v>FL20W1壁付机用ブラケット</v>
      </c>
      <c r="M588" s="14">
        <f>VLOOKUP(L588,照明器具一覧!$B$4:$F$129,5,FALSE)</f>
        <v>22</v>
      </c>
      <c r="N588" s="14">
        <v>1</v>
      </c>
      <c r="O588" s="142">
        <f t="shared" si="19"/>
        <v>220.286</v>
      </c>
    </row>
    <row r="589" spans="1:15">
      <c r="A589" s="2" t="s">
        <v>1210</v>
      </c>
      <c r="B589" s="78" t="s">
        <v>1499</v>
      </c>
      <c r="C589" s="2" t="s">
        <v>82</v>
      </c>
      <c r="D589" s="2" t="s">
        <v>99</v>
      </c>
      <c r="E589" s="2" t="s">
        <v>606</v>
      </c>
      <c r="F589" s="2" t="s">
        <v>34</v>
      </c>
      <c r="G589" s="2" t="s">
        <v>21</v>
      </c>
      <c r="H589" s="5">
        <v>1</v>
      </c>
      <c r="I589" s="2" t="s">
        <v>88</v>
      </c>
      <c r="J589" s="2">
        <v>10</v>
      </c>
      <c r="K589" s="32">
        <f>VLOOKUP(E589,照明設備稼働時間!$A$4:$E$31,5,FALSE)</f>
        <v>242</v>
      </c>
      <c r="L589" s="32" t="str">
        <f t="shared" si="18"/>
        <v>FHF32W1笠付</v>
      </c>
      <c r="M589" s="14">
        <f>VLOOKUP(L589,照明器具一覧!$B$4:$F$129,5,FALSE)</f>
        <v>36</v>
      </c>
      <c r="N589" s="14">
        <v>1</v>
      </c>
      <c r="O589" s="142">
        <f t="shared" si="19"/>
        <v>87.12</v>
      </c>
    </row>
    <row r="590" spans="1:15">
      <c r="A590" s="2" t="s">
        <v>1211</v>
      </c>
      <c r="B590" s="78" t="s">
        <v>1499</v>
      </c>
      <c r="C590" s="2" t="s">
        <v>20</v>
      </c>
      <c r="D590" s="2" t="s">
        <v>99</v>
      </c>
      <c r="E590" s="2" t="s">
        <v>603</v>
      </c>
      <c r="F590" s="2" t="s">
        <v>58</v>
      </c>
      <c r="G590" s="2" t="s">
        <v>21</v>
      </c>
      <c r="H590" s="5">
        <v>1</v>
      </c>
      <c r="I590" s="2" t="s">
        <v>91</v>
      </c>
      <c r="J590" s="2">
        <v>1</v>
      </c>
      <c r="K590" s="32">
        <f>VLOOKUP(E590,照明設備稼働時間!$A$4:$E$31,5,FALSE)</f>
        <v>968</v>
      </c>
      <c r="L590" s="32" t="str">
        <f t="shared" si="18"/>
        <v>FHF32W1逆富士</v>
      </c>
      <c r="M590" s="14">
        <f>VLOOKUP(L590,照明器具一覧!$B$4:$F$129,5,FALSE)</f>
        <v>36</v>
      </c>
      <c r="N590" s="14">
        <v>1</v>
      </c>
      <c r="O590" s="142">
        <f t="shared" si="19"/>
        <v>34.847999999999999</v>
      </c>
    </row>
    <row r="591" spans="1:15">
      <c r="A591" s="2" t="s">
        <v>1212</v>
      </c>
      <c r="B591" s="78" t="s">
        <v>1499</v>
      </c>
      <c r="C591" s="2"/>
      <c r="D591" s="2" t="s">
        <v>99</v>
      </c>
      <c r="E591" s="2" t="s">
        <v>603</v>
      </c>
      <c r="F591" s="2" t="s">
        <v>58</v>
      </c>
      <c r="G591" s="2" t="s">
        <v>31</v>
      </c>
      <c r="H591" s="5">
        <v>1</v>
      </c>
      <c r="I591" s="2" t="s">
        <v>316</v>
      </c>
      <c r="J591" s="2">
        <v>3</v>
      </c>
      <c r="K591" s="32">
        <f>VLOOKUP(E591,照明設備稼働時間!$A$4:$E$31,5,FALSE)</f>
        <v>968</v>
      </c>
      <c r="L591" s="32" t="str">
        <f t="shared" si="18"/>
        <v>LED電球1レセップ</v>
      </c>
      <c r="M591" s="14">
        <f>VLOOKUP(L591,照明器具一覧!$B$4:$F$129,5,FALSE)</f>
        <v>4.5999999999999996</v>
      </c>
      <c r="N591" s="14">
        <v>0.66</v>
      </c>
      <c r="O591" s="142">
        <f t="shared" si="19"/>
        <v>8.8165440000000004</v>
      </c>
    </row>
    <row r="592" spans="1:15">
      <c r="A592" s="2" t="s">
        <v>1213</v>
      </c>
      <c r="B592" s="78" t="s">
        <v>1499</v>
      </c>
      <c r="C592" s="2" t="s">
        <v>20</v>
      </c>
      <c r="D592" s="2" t="s">
        <v>99</v>
      </c>
      <c r="E592" s="2" t="s">
        <v>603</v>
      </c>
      <c r="F592" s="2" t="s">
        <v>59</v>
      </c>
      <c r="G592" s="2" t="s">
        <v>21</v>
      </c>
      <c r="H592" s="5">
        <v>1</v>
      </c>
      <c r="I592" s="2" t="s">
        <v>91</v>
      </c>
      <c r="J592" s="2">
        <v>1</v>
      </c>
      <c r="K592" s="32">
        <f>VLOOKUP(E592,照明設備稼働時間!$A$4:$E$31,5,FALSE)</f>
        <v>968</v>
      </c>
      <c r="L592" s="32" t="str">
        <f t="shared" si="18"/>
        <v>FHF32W1逆富士</v>
      </c>
      <c r="M592" s="14">
        <f>VLOOKUP(L592,照明器具一覧!$B$4:$F$129,5,FALSE)</f>
        <v>36</v>
      </c>
      <c r="N592" s="14">
        <v>1</v>
      </c>
      <c r="O592" s="142">
        <f t="shared" si="19"/>
        <v>34.847999999999999</v>
      </c>
    </row>
    <row r="593" spans="1:15">
      <c r="A593" s="2" t="s">
        <v>1214</v>
      </c>
      <c r="B593" s="78" t="s">
        <v>1499</v>
      </c>
      <c r="C593" s="2"/>
      <c r="D593" s="2" t="s">
        <v>99</v>
      </c>
      <c r="E593" s="2" t="s">
        <v>603</v>
      </c>
      <c r="F593" s="2" t="s">
        <v>59</v>
      </c>
      <c r="G593" s="2" t="s">
        <v>31</v>
      </c>
      <c r="H593" s="5">
        <v>1</v>
      </c>
      <c r="I593" s="2" t="s">
        <v>316</v>
      </c>
      <c r="J593" s="2">
        <v>2</v>
      </c>
      <c r="K593" s="32">
        <f>VLOOKUP(E593,照明設備稼働時間!$A$4:$E$31,5,FALSE)</f>
        <v>968</v>
      </c>
      <c r="L593" s="32" t="str">
        <f t="shared" si="18"/>
        <v>LED電球1レセップ</v>
      </c>
      <c r="M593" s="14">
        <f>VLOOKUP(L593,照明器具一覧!$B$4:$F$129,5,FALSE)</f>
        <v>4.5999999999999996</v>
      </c>
      <c r="N593" s="14">
        <v>0.5</v>
      </c>
      <c r="O593" s="142">
        <f t="shared" si="19"/>
        <v>4.452799999999999</v>
      </c>
    </row>
    <row r="594" spans="1:15">
      <c r="A594" s="2" t="s">
        <v>1215</v>
      </c>
      <c r="B594" s="78" t="s">
        <v>1499</v>
      </c>
      <c r="C594" s="2" t="s">
        <v>28</v>
      </c>
      <c r="D594" s="2" t="s">
        <v>99</v>
      </c>
      <c r="E594" s="2" t="s">
        <v>601</v>
      </c>
      <c r="F594" s="2" t="s">
        <v>45</v>
      </c>
      <c r="G594" s="2" t="s">
        <v>21</v>
      </c>
      <c r="H594" s="5">
        <v>1</v>
      </c>
      <c r="I594" s="2" t="s">
        <v>511</v>
      </c>
      <c r="J594" s="2">
        <v>3</v>
      </c>
      <c r="K594" s="32">
        <f>VLOOKUP(E594,照明設備稼働時間!$A$4:$E$31,5,FALSE)</f>
        <v>2299</v>
      </c>
      <c r="L594" s="32" t="str">
        <f t="shared" si="18"/>
        <v>FHF32W1埋込W190</v>
      </c>
      <c r="M594" s="14">
        <f>VLOOKUP(L594,照明器具一覧!$B$4:$F$129,5,FALSE)</f>
        <v>36</v>
      </c>
      <c r="N594" s="14">
        <v>0.33</v>
      </c>
      <c r="O594" s="142">
        <f t="shared" si="19"/>
        <v>81.936360000000008</v>
      </c>
    </row>
    <row r="595" spans="1:15">
      <c r="A595" s="2" t="s">
        <v>1216</v>
      </c>
      <c r="B595" s="78" t="s">
        <v>1499</v>
      </c>
      <c r="C595" s="2" t="s">
        <v>79</v>
      </c>
      <c r="D595" s="2" t="s">
        <v>99</v>
      </c>
      <c r="E595" s="2" t="s">
        <v>601</v>
      </c>
      <c r="F595" s="2" t="s">
        <v>46</v>
      </c>
      <c r="G595" s="2" t="s">
        <v>21</v>
      </c>
      <c r="H595" s="5">
        <v>1</v>
      </c>
      <c r="I595" s="2" t="s">
        <v>554</v>
      </c>
      <c r="J595" s="2">
        <v>1</v>
      </c>
      <c r="K595" s="32">
        <f>VLOOKUP(E595,照明設備稼働時間!$A$4:$E$31,5,FALSE)</f>
        <v>2299</v>
      </c>
      <c r="L595" s="32" t="str">
        <f t="shared" si="18"/>
        <v>FHF32W1階段灯　非常灯付</v>
      </c>
      <c r="M595" s="14">
        <f>VLOOKUP(L595,照明器具一覧!$B$4:$F$129,5,FALSE)</f>
        <v>36</v>
      </c>
      <c r="N595" s="14">
        <v>1</v>
      </c>
      <c r="O595" s="142">
        <f t="shared" si="19"/>
        <v>82.763999999999996</v>
      </c>
    </row>
    <row r="596" spans="1:15">
      <c r="A596" s="2" t="s">
        <v>1217</v>
      </c>
      <c r="B596" s="78" t="s">
        <v>1499</v>
      </c>
      <c r="C596" s="2" t="s">
        <v>80</v>
      </c>
      <c r="D596" s="2" t="s">
        <v>99</v>
      </c>
      <c r="E596" s="2" t="s">
        <v>601</v>
      </c>
      <c r="F596" s="2" t="s">
        <v>46</v>
      </c>
      <c r="G596" s="2" t="s">
        <v>21</v>
      </c>
      <c r="H596" s="5">
        <v>1</v>
      </c>
      <c r="I596" s="2" t="s">
        <v>554</v>
      </c>
      <c r="J596" s="2">
        <v>1</v>
      </c>
      <c r="K596" s="32">
        <f>VLOOKUP(E596,照明設備稼働時間!$A$4:$E$31,5,FALSE)</f>
        <v>2299</v>
      </c>
      <c r="L596" s="32" t="str">
        <f t="shared" si="18"/>
        <v>FHF32W1階段灯　非常灯付</v>
      </c>
      <c r="M596" s="14">
        <f>VLOOKUP(L596,照明器具一覧!$B$4:$F$129,5,FALSE)</f>
        <v>36</v>
      </c>
      <c r="N596" s="14">
        <v>1</v>
      </c>
      <c r="O596" s="142">
        <f t="shared" si="19"/>
        <v>82.763999999999996</v>
      </c>
    </row>
    <row r="597" spans="1:15">
      <c r="A597" s="2" t="s">
        <v>1218</v>
      </c>
      <c r="B597" s="78" t="s">
        <v>1499</v>
      </c>
      <c r="C597" s="2" t="s">
        <v>20</v>
      </c>
      <c r="D597" s="2" t="s">
        <v>99</v>
      </c>
      <c r="E597" s="29" t="s">
        <v>1513</v>
      </c>
      <c r="F597" s="2" t="s">
        <v>60</v>
      </c>
      <c r="G597" s="2" t="s">
        <v>21</v>
      </c>
      <c r="H597" s="5">
        <v>1</v>
      </c>
      <c r="I597" s="2" t="s">
        <v>91</v>
      </c>
      <c r="J597" s="2">
        <v>1</v>
      </c>
      <c r="K597" s="32">
        <f>VLOOKUP(E597,照明設備稼働時間!$A$4:$E$31,5,FALSE)</f>
        <v>484</v>
      </c>
      <c r="L597" s="32" t="str">
        <f t="shared" si="18"/>
        <v>FHF32W1逆富士</v>
      </c>
      <c r="M597" s="14">
        <f>VLOOKUP(L597,照明器具一覧!$B$4:$F$129,5,FALSE)</f>
        <v>36</v>
      </c>
      <c r="N597" s="14">
        <v>1</v>
      </c>
      <c r="O597" s="142">
        <f t="shared" si="19"/>
        <v>17.423999999999999</v>
      </c>
    </row>
    <row r="598" spans="1:15">
      <c r="A598" s="2" t="s">
        <v>1219</v>
      </c>
      <c r="B598" s="78" t="s">
        <v>1499</v>
      </c>
      <c r="C598" s="2" t="s">
        <v>20</v>
      </c>
      <c r="D598" s="2" t="s">
        <v>99</v>
      </c>
      <c r="E598" s="2" t="s">
        <v>44</v>
      </c>
      <c r="F598" s="2" t="s">
        <v>47</v>
      </c>
      <c r="G598" s="2" t="s">
        <v>21</v>
      </c>
      <c r="H598" s="5">
        <v>1</v>
      </c>
      <c r="I598" s="2" t="s">
        <v>91</v>
      </c>
      <c r="J598" s="2">
        <v>1</v>
      </c>
      <c r="K598" s="32">
        <f>VLOOKUP(E598,照明設備稼働時間!$A$4:$E$31,5,FALSE)</f>
        <v>242</v>
      </c>
      <c r="L598" s="32" t="str">
        <f t="shared" si="18"/>
        <v>FHF32W1逆富士</v>
      </c>
      <c r="M598" s="14">
        <f>VLOOKUP(L598,照明器具一覧!$B$4:$F$129,5,FALSE)</f>
        <v>36</v>
      </c>
      <c r="N598" s="14">
        <v>1</v>
      </c>
      <c r="O598" s="142">
        <f t="shared" si="19"/>
        <v>8.7119999999999997</v>
      </c>
    </row>
    <row r="599" spans="1:15">
      <c r="A599" s="2" t="s">
        <v>1220</v>
      </c>
      <c r="B599" s="78" t="s">
        <v>1499</v>
      </c>
      <c r="C599" s="2" t="s">
        <v>78</v>
      </c>
      <c r="D599" s="2" t="s">
        <v>99</v>
      </c>
      <c r="E599" s="2" t="s">
        <v>1507</v>
      </c>
      <c r="F599" s="2" t="s">
        <v>61</v>
      </c>
      <c r="G599" s="2" t="s">
        <v>19</v>
      </c>
      <c r="H599" s="5">
        <v>1</v>
      </c>
      <c r="I599" s="2" t="s">
        <v>522</v>
      </c>
      <c r="J599" s="2">
        <v>1</v>
      </c>
      <c r="K599" s="32">
        <f>VLOOKUP(E599,照明設備稼働時間!$A$4:$E$31,5,FALSE)</f>
        <v>0</v>
      </c>
      <c r="L599" s="32" t="str">
        <f t="shared" si="18"/>
        <v>FHF16W1片反射笠付(高出力)</v>
      </c>
      <c r="M599" s="14">
        <f>VLOOKUP(L599,照明器具一覧!$B$4:$F$129,5,FALSE)</f>
        <v>26</v>
      </c>
      <c r="N599" s="14">
        <v>1</v>
      </c>
      <c r="O599" s="142">
        <f t="shared" si="19"/>
        <v>0</v>
      </c>
    </row>
    <row r="600" spans="1:15">
      <c r="A600" s="2" t="s">
        <v>1221</v>
      </c>
      <c r="B600" s="78" t="s">
        <v>1499</v>
      </c>
      <c r="C600" s="2" t="s">
        <v>81</v>
      </c>
      <c r="D600" s="2" t="s">
        <v>99</v>
      </c>
      <c r="E600" s="2" t="s">
        <v>600</v>
      </c>
      <c r="F600" s="2" t="s">
        <v>115</v>
      </c>
      <c r="G600" s="2" t="s">
        <v>21</v>
      </c>
      <c r="H600" s="5">
        <v>2</v>
      </c>
      <c r="I600" s="2" t="s">
        <v>56</v>
      </c>
      <c r="J600" s="2">
        <v>59</v>
      </c>
      <c r="K600" s="32">
        <f>VLOOKUP(E600,照明設備稼働時間!$A$4:$E$31,5,FALSE)</f>
        <v>2299</v>
      </c>
      <c r="L600" s="32" t="str">
        <f t="shared" si="18"/>
        <v>FHF32W2システム天井</v>
      </c>
      <c r="M600" s="14">
        <f>VLOOKUP(L600,照明器具一覧!$B$4:$F$129,5,FALSE)</f>
        <v>72</v>
      </c>
      <c r="N600" s="14">
        <v>1</v>
      </c>
      <c r="O600" s="142">
        <f t="shared" si="19"/>
        <v>9766.152</v>
      </c>
    </row>
    <row r="601" spans="1:15">
      <c r="A601" s="2" t="s">
        <v>1222</v>
      </c>
      <c r="B601" s="78" t="s">
        <v>1499</v>
      </c>
      <c r="C601" s="2" t="s">
        <v>515</v>
      </c>
      <c r="D601" s="2" t="s">
        <v>99</v>
      </c>
      <c r="E601" s="2" t="s">
        <v>611</v>
      </c>
      <c r="F601" s="2" t="s">
        <v>116</v>
      </c>
      <c r="G601" s="2" t="s">
        <v>21</v>
      </c>
      <c r="H601" s="5">
        <v>2</v>
      </c>
      <c r="I601" s="2" t="s">
        <v>88</v>
      </c>
      <c r="J601" s="2">
        <v>34</v>
      </c>
      <c r="K601" s="32">
        <f>VLOOKUP(E601,照明設備稼働時間!$A$4:$E$31,5,FALSE)</f>
        <v>2299</v>
      </c>
      <c r="L601" s="32" t="str">
        <f t="shared" si="18"/>
        <v>FHF32W2笠付</v>
      </c>
      <c r="M601" s="14">
        <f>VLOOKUP(L601,照明器具一覧!$B$4:$F$129,5,FALSE)</f>
        <v>36</v>
      </c>
      <c r="N601" s="14">
        <v>1</v>
      </c>
      <c r="O601" s="142">
        <f t="shared" si="19"/>
        <v>2813.9760000000001</v>
      </c>
    </row>
    <row r="602" spans="1:15">
      <c r="A602" s="2" t="s">
        <v>1223</v>
      </c>
      <c r="B602" s="78" t="s">
        <v>1499</v>
      </c>
      <c r="C602" s="2" t="s">
        <v>82</v>
      </c>
      <c r="D602" s="2" t="s">
        <v>99</v>
      </c>
      <c r="E602" s="2" t="s">
        <v>611</v>
      </c>
      <c r="F602" s="2" t="s">
        <v>116</v>
      </c>
      <c r="G602" s="2" t="s">
        <v>21</v>
      </c>
      <c r="H602" s="5">
        <v>1</v>
      </c>
      <c r="I602" s="2" t="s">
        <v>88</v>
      </c>
      <c r="J602" s="2">
        <v>4</v>
      </c>
      <c r="K602" s="32">
        <f>VLOOKUP(E602,照明設備稼働時間!$A$4:$E$31,5,FALSE)</f>
        <v>2299</v>
      </c>
      <c r="L602" s="32" t="str">
        <f t="shared" si="18"/>
        <v>FHF32W1笠付</v>
      </c>
      <c r="M602" s="14">
        <f>VLOOKUP(L602,照明器具一覧!$B$4:$F$129,5,FALSE)</f>
        <v>36</v>
      </c>
      <c r="N602" s="14">
        <v>1</v>
      </c>
      <c r="O602" s="142">
        <f t="shared" si="19"/>
        <v>331.05599999999998</v>
      </c>
    </row>
    <row r="603" spans="1:15">
      <c r="A603" s="2" t="s">
        <v>1224</v>
      </c>
      <c r="B603" s="78" t="s">
        <v>1499</v>
      </c>
      <c r="C603" s="2"/>
      <c r="D603" s="2" t="s">
        <v>99</v>
      </c>
      <c r="E603" s="2" t="s">
        <v>611</v>
      </c>
      <c r="F603" s="2" t="s">
        <v>116</v>
      </c>
      <c r="G603" s="2" t="s">
        <v>72</v>
      </c>
      <c r="H603" s="5">
        <v>1</v>
      </c>
      <c r="I603" s="2" t="s">
        <v>132</v>
      </c>
      <c r="J603" s="2">
        <v>1</v>
      </c>
      <c r="K603" s="32">
        <f>VLOOKUP(E603,照明設備稼働時間!$A$4:$E$31,5,FALSE)</f>
        <v>2299</v>
      </c>
      <c r="L603" s="32" t="str">
        <f t="shared" si="18"/>
        <v>IL60W1コップ</v>
      </c>
      <c r="M603" s="14">
        <f>VLOOKUP(L603,照明器具一覧!$B$4:$F$129,5,FALSE)</f>
        <v>60</v>
      </c>
      <c r="N603" s="14">
        <v>1</v>
      </c>
      <c r="O603" s="142">
        <f t="shared" si="19"/>
        <v>137.94</v>
      </c>
    </row>
    <row r="604" spans="1:15">
      <c r="A604" s="2" t="s">
        <v>1225</v>
      </c>
      <c r="B604" s="78" t="s">
        <v>1499</v>
      </c>
      <c r="C604" s="2" t="s">
        <v>82</v>
      </c>
      <c r="D604" s="2" t="s">
        <v>99</v>
      </c>
      <c r="E604" s="2" t="s">
        <v>612</v>
      </c>
      <c r="F604" s="2" t="s">
        <v>117</v>
      </c>
      <c r="G604" s="2" t="s">
        <v>21</v>
      </c>
      <c r="H604" s="5">
        <v>1</v>
      </c>
      <c r="I604" s="2" t="s">
        <v>88</v>
      </c>
      <c r="J604" s="2">
        <v>2</v>
      </c>
      <c r="K604" s="32">
        <f>VLOOKUP(E604,照明設備稼働時間!$A$4:$E$31,5,FALSE)</f>
        <v>484</v>
      </c>
      <c r="L604" s="32" t="str">
        <f t="shared" si="18"/>
        <v>FHF32W1笠付</v>
      </c>
      <c r="M604" s="14">
        <f>VLOOKUP(L604,照明器具一覧!$B$4:$F$129,5,FALSE)</f>
        <v>36</v>
      </c>
      <c r="N604" s="14">
        <v>1</v>
      </c>
      <c r="O604" s="142">
        <f t="shared" si="19"/>
        <v>34.847999999999999</v>
      </c>
    </row>
    <row r="605" spans="1:15">
      <c r="A605" s="2" t="s">
        <v>1226</v>
      </c>
      <c r="B605" s="78" t="s">
        <v>1499</v>
      </c>
      <c r="C605" s="2" t="s">
        <v>20</v>
      </c>
      <c r="D605" s="2" t="s">
        <v>99</v>
      </c>
      <c r="E605" s="2" t="s">
        <v>44</v>
      </c>
      <c r="F605" s="2" t="s">
        <v>118</v>
      </c>
      <c r="G605" s="2" t="s">
        <v>21</v>
      </c>
      <c r="H605" s="5">
        <v>1</v>
      </c>
      <c r="I605" s="2" t="s">
        <v>88</v>
      </c>
      <c r="J605" s="2">
        <v>3</v>
      </c>
      <c r="K605" s="32">
        <f>VLOOKUP(E605,照明設備稼働時間!$A$4:$E$31,5,FALSE)</f>
        <v>242</v>
      </c>
      <c r="L605" s="32" t="str">
        <f t="shared" si="18"/>
        <v>FHF32W1笠付</v>
      </c>
      <c r="M605" s="14">
        <f>VLOOKUP(L605,照明器具一覧!$B$4:$F$129,5,FALSE)</f>
        <v>36</v>
      </c>
      <c r="N605" s="14">
        <v>1</v>
      </c>
      <c r="O605" s="142">
        <f t="shared" si="19"/>
        <v>26.135999999999999</v>
      </c>
    </row>
    <row r="606" spans="1:15">
      <c r="A606" s="2" t="s">
        <v>1227</v>
      </c>
      <c r="B606" s="78" t="s">
        <v>1499</v>
      </c>
      <c r="C606" s="2" t="s">
        <v>523</v>
      </c>
      <c r="D606" s="2" t="s">
        <v>99</v>
      </c>
      <c r="E606" s="2" t="s">
        <v>612</v>
      </c>
      <c r="F606" s="2" t="s">
        <v>119</v>
      </c>
      <c r="G606" s="2" t="s">
        <v>21</v>
      </c>
      <c r="H606" s="5">
        <v>1</v>
      </c>
      <c r="I606" s="2" t="s">
        <v>91</v>
      </c>
      <c r="J606" s="2">
        <v>3</v>
      </c>
      <c r="K606" s="32">
        <f>VLOOKUP(E606,照明設備稼働時間!$A$4:$E$31,5,FALSE)</f>
        <v>484</v>
      </c>
      <c r="L606" s="32" t="str">
        <f t="shared" si="18"/>
        <v>FHF32W1逆富士</v>
      </c>
      <c r="M606" s="14">
        <f>VLOOKUP(L606,照明器具一覧!$B$4:$F$129,5,FALSE)</f>
        <v>36</v>
      </c>
      <c r="N606" s="14">
        <v>1</v>
      </c>
      <c r="O606" s="142">
        <f t="shared" si="19"/>
        <v>52.271999999999998</v>
      </c>
    </row>
    <row r="607" spans="1:15">
      <c r="A607" s="2" t="s">
        <v>1228</v>
      </c>
      <c r="B607" s="78" t="s">
        <v>1499</v>
      </c>
      <c r="C607" s="2" t="s">
        <v>87</v>
      </c>
      <c r="D607" s="2" t="s">
        <v>99</v>
      </c>
      <c r="E607" s="2" t="s">
        <v>611</v>
      </c>
      <c r="F607" s="2" t="s">
        <v>120</v>
      </c>
      <c r="G607" s="2" t="s">
        <v>21</v>
      </c>
      <c r="H607" s="5">
        <v>2</v>
      </c>
      <c r="I607" s="2" t="s">
        <v>509</v>
      </c>
      <c r="J607" s="2">
        <v>12</v>
      </c>
      <c r="K607" s="32">
        <f>VLOOKUP(E607,照明設備稼働時間!$A$4:$E$31,5,FALSE)</f>
        <v>2299</v>
      </c>
      <c r="L607" s="32" t="str">
        <f t="shared" si="18"/>
        <v>FHF32W2埋込W300</v>
      </c>
      <c r="M607" s="14">
        <f>VLOOKUP(L607,照明器具一覧!$B$4:$F$129,5,FALSE)</f>
        <v>71</v>
      </c>
      <c r="N607" s="14">
        <v>1</v>
      </c>
      <c r="O607" s="142">
        <f t="shared" si="19"/>
        <v>1958.748</v>
      </c>
    </row>
    <row r="608" spans="1:15">
      <c r="A608" s="2" t="s">
        <v>1229</v>
      </c>
      <c r="B608" s="78" t="s">
        <v>1499</v>
      </c>
      <c r="C608" s="2" t="s">
        <v>20</v>
      </c>
      <c r="D608" s="2" t="s">
        <v>99</v>
      </c>
      <c r="E608" s="2" t="s">
        <v>44</v>
      </c>
      <c r="F608" s="2" t="s">
        <v>129</v>
      </c>
      <c r="G608" s="2" t="s">
        <v>21</v>
      </c>
      <c r="H608" s="5">
        <v>1</v>
      </c>
      <c r="I608" s="2" t="s">
        <v>91</v>
      </c>
      <c r="J608" s="2">
        <v>2</v>
      </c>
      <c r="K608" s="32">
        <f>VLOOKUP(E608,照明設備稼働時間!$A$4:$E$31,5,FALSE)</f>
        <v>242</v>
      </c>
      <c r="L608" s="32" t="str">
        <f t="shared" si="18"/>
        <v>FHF32W1逆富士</v>
      </c>
      <c r="M608" s="14">
        <f>VLOOKUP(L608,照明器具一覧!$B$4:$F$129,5,FALSE)</f>
        <v>36</v>
      </c>
      <c r="N608" s="14">
        <v>1</v>
      </c>
      <c r="O608" s="142">
        <f t="shared" si="19"/>
        <v>17.423999999999999</v>
      </c>
    </row>
    <row r="609" spans="1:15">
      <c r="A609" s="2" t="s">
        <v>1230</v>
      </c>
      <c r="B609" s="78" t="s">
        <v>1499</v>
      </c>
      <c r="C609" s="2" t="s">
        <v>85</v>
      </c>
      <c r="D609" s="2" t="s">
        <v>99</v>
      </c>
      <c r="E609" s="2" t="s">
        <v>1507</v>
      </c>
      <c r="F609" s="2" t="s">
        <v>64</v>
      </c>
      <c r="G609" s="2" t="s">
        <v>21</v>
      </c>
      <c r="H609" s="5">
        <v>1</v>
      </c>
      <c r="I609" s="2" t="s">
        <v>524</v>
      </c>
      <c r="J609" s="2">
        <v>1</v>
      </c>
      <c r="K609" s="32">
        <f>VLOOKUP(E609,照明設備稼働時間!$A$4:$E$31,5,FALSE)</f>
        <v>0</v>
      </c>
      <c r="L609" s="32" t="str">
        <f t="shared" si="18"/>
        <v>FHF32W1片反射笠付</v>
      </c>
      <c r="M609" s="14">
        <f>VLOOKUP(L609,照明器具一覧!$B$4:$F$129,5,FALSE)</f>
        <v>36</v>
      </c>
      <c r="N609" s="14">
        <v>1</v>
      </c>
      <c r="O609" s="142">
        <f t="shared" si="19"/>
        <v>0</v>
      </c>
    </row>
    <row r="610" spans="1:15">
      <c r="A610" s="2" t="s">
        <v>1231</v>
      </c>
      <c r="B610" s="78" t="s">
        <v>1499</v>
      </c>
      <c r="C610" s="2" t="s">
        <v>86</v>
      </c>
      <c r="D610" s="2" t="s">
        <v>99</v>
      </c>
      <c r="E610" s="2" t="s">
        <v>601</v>
      </c>
      <c r="F610" s="2" t="s">
        <v>49</v>
      </c>
      <c r="G610" s="2" t="s">
        <v>19</v>
      </c>
      <c r="H610" s="5">
        <v>1</v>
      </c>
      <c r="I610" s="2" t="s">
        <v>525</v>
      </c>
      <c r="J610" s="2">
        <v>1</v>
      </c>
      <c r="K610" s="32">
        <f>VLOOKUP(E610,照明設備稼働時間!$A$4:$E$31,5,FALSE)</f>
        <v>2299</v>
      </c>
      <c r="L610" s="32" t="str">
        <f t="shared" si="18"/>
        <v>FHF16W1埋込W150　高出力</v>
      </c>
      <c r="M610" s="14">
        <f>VLOOKUP(L610,照明器具一覧!$B$4:$F$129,5,FALSE)</f>
        <v>26</v>
      </c>
      <c r="N610" s="14">
        <v>0.33</v>
      </c>
      <c r="O610" s="142">
        <f t="shared" si="19"/>
        <v>19.725420000000003</v>
      </c>
    </row>
    <row r="611" spans="1:15">
      <c r="A611" s="2" t="s">
        <v>1232</v>
      </c>
      <c r="B611" s="78" t="s">
        <v>1499</v>
      </c>
      <c r="C611" s="2" t="s">
        <v>28</v>
      </c>
      <c r="D611" s="2" t="s">
        <v>99</v>
      </c>
      <c r="E611" s="2" t="s">
        <v>1508</v>
      </c>
      <c r="F611" s="2" t="s">
        <v>65</v>
      </c>
      <c r="G611" s="2" t="s">
        <v>21</v>
      </c>
      <c r="H611" s="5">
        <v>1</v>
      </c>
      <c r="I611" s="2" t="s">
        <v>511</v>
      </c>
      <c r="J611" s="2">
        <v>2</v>
      </c>
      <c r="K611" s="32">
        <f>VLOOKUP(E611,照明設備稼働時間!$A$4:$E$31,5,FALSE)</f>
        <v>8760</v>
      </c>
      <c r="L611" s="32" t="str">
        <f t="shared" si="18"/>
        <v>FHF32W1埋込W190</v>
      </c>
      <c r="M611" s="14">
        <f>VLOOKUP(L611,照明器具一覧!$B$4:$F$129,5,FALSE)</f>
        <v>36</v>
      </c>
      <c r="N611" s="14">
        <v>1</v>
      </c>
      <c r="O611" s="142">
        <f t="shared" si="19"/>
        <v>630.72</v>
      </c>
    </row>
    <row r="612" spans="1:15">
      <c r="A612" s="2" t="s">
        <v>1233</v>
      </c>
      <c r="B612" s="78" t="s">
        <v>1499</v>
      </c>
      <c r="C612" s="2"/>
      <c r="D612" s="2" t="s">
        <v>99</v>
      </c>
      <c r="E612" s="2" t="s">
        <v>1508</v>
      </c>
      <c r="F612" s="2" t="s">
        <v>65</v>
      </c>
      <c r="G612" s="2" t="s">
        <v>72</v>
      </c>
      <c r="H612" s="5">
        <v>1</v>
      </c>
      <c r="I612" s="2" t="s">
        <v>73</v>
      </c>
      <c r="J612" s="2">
        <v>1</v>
      </c>
      <c r="K612" s="32">
        <f>VLOOKUP(E612,照明設備稼働時間!$A$4:$E$31,5,FALSE)</f>
        <v>8760</v>
      </c>
      <c r="L612" s="32" t="str">
        <f t="shared" si="18"/>
        <v>IL60W1ダウンライト</v>
      </c>
      <c r="M612" s="14">
        <f>VLOOKUP(L612,照明器具一覧!$B$4:$F$129,5,FALSE)</f>
        <v>60</v>
      </c>
      <c r="N612" s="14">
        <v>1</v>
      </c>
      <c r="O612" s="142">
        <f t="shared" si="19"/>
        <v>525.6</v>
      </c>
    </row>
    <row r="613" spans="1:15">
      <c r="A613" s="2" t="s">
        <v>1234</v>
      </c>
      <c r="B613" s="78" t="s">
        <v>1499</v>
      </c>
      <c r="C613" s="2" t="s">
        <v>79</v>
      </c>
      <c r="D613" s="2" t="s">
        <v>99</v>
      </c>
      <c r="E613" s="2" t="s">
        <v>601</v>
      </c>
      <c r="F613" s="2" t="s">
        <v>50</v>
      </c>
      <c r="G613" s="2" t="s">
        <v>21</v>
      </c>
      <c r="H613" s="5">
        <v>1</v>
      </c>
      <c r="I613" s="2" t="s">
        <v>554</v>
      </c>
      <c r="J613" s="2">
        <v>1</v>
      </c>
      <c r="K613" s="32">
        <f>VLOOKUP(E613,照明設備稼働時間!$A$4:$E$31,5,FALSE)</f>
        <v>2299</v>
      </c>
      <c r="L613" s="32" t="str">
        <f t="shared" si="18"/>
        <v>FHF32W1階段灯　非常灯付</v>
      </c>
      <c r="M613" s="14">
        <f>VLOOKUP(L613,照明器具一覧!$B$4:$F$129,5,FALSE)</f>
        <v>36</v>
      </c>
      <c r="N613" s="14">
        <v>1</v>
      </c>
      <c r="O613" s="142">
        <f t="shared" si="19"/>
        <v>82.763999999999996</v>
      </c>
    </row>
    <row r="614" spans="1:15">
      <c r="A614" s="2" t="s">
        <v>1235</v>
      </c>
      <c r="B614" s="78" t="s">
        <v>1499</v>
      </c>
      <c r="C614" s="2" t="s">
        <v>80</v>
      </c>
      <c r="D614" s="2" t="s">
        <v>99</v>
      </c>
      <c r="E614" s="2" t="s">
        <v>601</v>
      </c>
      <c r="F614" s="2" t="s">
        <v>50</v>
      </c>
      <c r="G614" s="2" t="s">
        <v>21</v>
      </c>
      <c r="H614" s="5">
        <v>1</v>
      </c>
      <c r="I614" s="2" t="s">
        <v>554</v>
      </c>
      <c r="J614" s="2">
        <v>1</v>
      </c>
      <c r="K614" s="32">
        <f>VLOOKUP(E614,照明設備稼働時間!$A$4:$E$31,5,FALSE)</f>
        <v>2299</v>
      </c>
      <c r="L614" s="32" t="str">
        <f t="shared" si="18"/>
        <v>FHF32W1階段灯　非常灯付</v>
      </c>
      <c r="M614" s="14">
        <f>VLOOKUP(L614,照明器具一覧!$B$4:$F$129,5,FALSE)</f>
        <v>36</v>
      </c>
      <c r="N614" s="14">
        <v>1</v>
      </c>
      <c r="O614" s="142">
        <f t="shared" si="19"/>
        <v>82.763999999999996</v>
      </c>
    </row>
    <row r="615" spans="1:15">
      <c r="A615" s="2" t="s">
        <v>1236</v>
      </c>
      <c r="B615" s="78" t="s">
        <v>1499</v>
      </c>
      <c r="C615" s="2" t="s">
        <v>330</v>
      </c>
      <c r="D615" s="2" t="s">
        <v>99</v>
      </c>
      <c r="E615" s="2" t="s">
        <v>606</v>
      </c>
      <c r="F615" s="2" t="s">
        <v>121</v>
      </c>
      <c r="G615" s="2" t="s">
        <v>21</v>
      </c>
      <c r="H615" s="5">
        <v>2</v>
      </c>
      <c r="I615" s="2" t="s">
        <v>509</v>
      </c>
      <c r="J615" s="2">
        <v>4</v>
      </c>
      <c r="K615" s="32">
        <f>VLOOKUP(E615,照明設備稼働時間!$A$4:$E$31,5,FALSE)</f>
        <v>242</v>
      </c>
      <c r="L615" s="32" t="str">
        <f t="shared" si="18"/>
        <v>FHF32W2埋込W300</v>
      </c>
      <c r="M615" s="14">
        <f>VLOOKUP(L615,照明器具一覧!$B$4:$F$129,5,FALSE)</f>
        <v>71</v>
      </c>
      <c r="N615" s="14">
        <v>1</v>
      </c>
      <c r="O615" s="142">
        <f t="shared" si="19"/>
        <v>68.727999999999994</v>
      </c>
    </row>
    <row r="616" spans="1:15">
      <c r="A616" s="2" t="s">
        <v>1237</v>
      </c>
      <c r="B616" s="78" t="s">
        <v>1499</v>
      </c>
      <c r="C616" s="2" t="s">
        <v>330</v>
      </c>
      <c r="D616" s="2" t="s">
        <v>99</v>
      </c>
      <c r="E616" s="2" t="s">
        <v>606</v>
      </c>
      <c r="F616" s="2" t="s">
        <v>122</v>
      </c>
      <c r="G616" s="2" t="s">
        <v>21</v>
      </c>
      <c r="H616" s="5">
        <v>2</v>
      </c>
      <c r="I616" s="2" t="s">
        <v>509</v>
      </c>
      <c r="J616" s="2">
        <v>2</v>
      </c>
      <c r="K616" s="32">
        <f>VLOOKUP(E616,照明設備稼働時間!$A$4:$E$31,5,FALSE)</f>
        <v>242</v>
      </c>
      <c r="L616" s="32" t="str">
        <f t="shared" si="18"/>
        <v>FHF32W2埋込W300</v>
      </c>
      <c r="M616" s="14">
        <f>VLOOKUP(L616,照明器具一覧!$B$4:$F$129,5,FALSE)</f>
        <v>71</v>
      </c>
      <c r="N616" s="14">
        <v>1</v>
      </c>
      <c r="O616" s="142">
        <f t="shared" si="19"/>
        <v>34.363999999999997</v>
      </c>
    </row>
    <row r="617" spans="1:15">
      <c r="A617" s="2" t="s">
        <v>1238</v>
      </c>
      <c r="B617" s="78" t="s">
        <v>1499</v>
      </c>
      <c r="C617" s="2" t="s">
        <v>81</v>
      </c>
      <c r="D617" s="2" t="s">
        <v>99</v>
      </c>
      <c r="E617" s="2" t="s">
        <v>600</v>
      </c>
      <c r="F617" s="2" t="s">
        <v>52</v>
      </c>
      <c r="G617" s="2" t="s">
        <v>21</v>
      </c>
      <c r="H617" s="5">
        <v>2</v>
      </c>
      <c r="I617" s="2" t="s">
        <v>56</v>
      </c>
      <c r="J617" s="2">
        <v>4</v>
      </c>
      <c r="K617" s="32">
        <f>VLOOKUP(E617,照明設備稼働時間!$A$4:$E$31,5,FALSE)</f>
        <v>2299</v>
      </c>
      <c r="L617" s="32" t="str">
        <f t="shared" si="18"/>
        <v>FHF32W2システム天井</v>
      </c>
      <c r="M617" s="14">
        <f>VLOOKUP(L617,照明器具一覧!$B$4:$F$129,5,FALSE)</f>
        <v>72</v>
      </c>
      <c r="N617" s="14">
        <v>1</v>
      </c>
      <c r="O617" s="142">
        <f t="shared" si="19"/>
        <v>662.11199999999997</v>
      </c>
    </row>
    <row r="618" spans="1:15">
      <c r="A618" s="2" t="s">
        <v>1239</v>
      </c>
      <c r="B618" s="78" t="s">
        <v>1499</v>
      </c>
      <c r="C618" s="2" t="s">
        <v>81</v>
      </c>
      <c r="D618" s="2" t="s">
        <v>99</v>
      </c>
      <c r="E618" s="2" t="s">
        <v>600</v>
      </c>
      <c r="F618" s="2" t="s">
        <v>130</v>
      </c>
      <c r="G618" s="2" t="s">
        <v>21</v>
      </c>
      <c r="H618" s="5">
        <v>2</v>
      </c>
      <c r="I618" s="2" t="s">
        <v>56</v>
      </c>
      <c r="J618" s="2">
        <v>80</v>
      </c>
      <c r="K618" s="32">
        <f>VLOOKUP(E618,照明設備稼働時間!$A$4:$E$31,5,FALSE)</f>
        <v>2299</v>
      </c>
      <c r="L618" s="32" t="str">
        <f t="shared" si="18"/>
        <v>FHF32W2システム天井</v>
      </c>
      <c r="M618" s="14">
        <f>VLOOKUP(L618,照明器具一覧!$B$4:$F$129,5,FALSE)</f>
        <v>72</v>
      </c>
      <c r="N618" s="14">
        <v>1</v>
      </c>
      <c r="O618" s="142">
        <f t="shared" si="19"/>
        <v>13242.24</v>
      </c>
    </row>
    <row r="619" spans="1:15">
      <c r="A619" s="2" t="s">
        <v>1240</v>
      </c>
      <c r="B619" s="78" t="s">
        <v>1499</v>
      </c>
      <c r="C619" s="2" t="s">
        <v>81</v>
      </c>
      <c r="D619" s="2" t="s">
        <v>99</v>
      </c>
      <c r="E619" s="2" t="s">
        <v>600</v>
      </c>
      <c r="F619" s="2" t="s">
        <v>131</v>
      </c>
      <c r="G619" s="2" t="s">
        <v>21</v>
      </c>
      <c r="H619" s="5">
        <v>2</v>
      </c>
      <c r="I619" s="2" t="s">
        <v>56</v>
      </c>
      <c r="J619" s="2">
        <v>20</v>
      </c>
      <c r="K619" s="32">
        <f>VLOOKUP(E619,照明設備稼働時間!$A$4:$E$31,5,FALSE)</f>
        <v>2299</v>
      </c>
      <c r="L619" s="32" t="str">
        <f t="shared" si="18"/>
        <v>FHF32W2システム天井</v>
      </c>
      <c r="M619" s="14">
        <f>VLOOKUP(L619,照明器具一覧!$B$4:$F$129,5,FALSE)</f>
        <v>72</v>
      </c>
      <c r="N619" s="14">
        <v>1</v>
      </c>
      <c r="O619" s="142">
        <f t="shared" si="19"/>
        <v>3310.56</v>
      </c>
    </row>
    <row r="620" spans="1:15">
      <c r="A620" s="2" t="s">
        <v>1241</v>
      </c>
      <c r="B620" s="78" t="s">
        <v>1499</v>
      </c>
      <c r="C620" s="2" t="s">
        <v>67</v>
      </c>
      <c r="D620" s="2" t="s">
        <v>99</v>
      </c>
      <c r="E620" s="2" t="s">
        <v>77</v>
      </c>
      <c r="F620" s="2" t="s">
        <v>57</v>
      </c>
      <c r="G620" s="2" t="s">
        <v>97</v>
      </c>
      <c r="H620" s="5">
        <v>1</v>
      </c>
      <c r="I620" s="2" t="s">
        <v>594</v>
      </c>
      <c r="J620" s="2">
        <v>1</v>
      </c>
      <c r="K620" s="32">
        <f>VLOOKUP(E620,照明設備稼働時間!$A$4:$E$31,5,FALSE)</f>
        <v>8760</v>
      </c>
      <c r="L620" s="32" t="str">
        <f t="shared" si="18"/>
        <v>CF2.2W1誘導灯C級片面</v>
      </c>
      <c r="M620" s="14">
        <f>VLOOKUP(L620,照明器具一覧!$B$4:$F$129,5,FALSE)</f>
        <v>4</v>
      </c>
      <c r="N620" s="14">
        <v>1</v>
      </c>
      <c r="O620" s="142">
        <f t="shared" si="19"/>
        <v>35.04</v>
      </c>
    </row>
    <row r="621" spans="1:15">
      <c r="A621" s="2" t="s">
        <v>1242</v>
      </c>
      <c r="B621" s="78" t="s">
        <v>1499</v>
      </c>
      <c r="C621" s="2" t="s">
        <v>69</v>
      </c>
      <c r="D621" s="2" t="s">
        <v>99</v>
      </c>
      <c r="E621" s="2" t="s">
        <v>77</v>
      </c>
      <c r="F621" s="2" t="s">
        <v>39</v>
      </c>
      <c r="G621" s="2" t="s">
        <v>97</v>
      </c>
      <c r="H621" s="5">
        <v>1</v>
      </c>
      <c r="I621" s="2" t="s">
        <v>594</v>
      </c>
      <c r="J621" s="2">
        <v>1</v>
      </c>
      <c r="K621" s="32">
        <f>VLOOKUP(E621,照明設備稼働時間!$A$4:$E$31,5,FALSE)</f>
        <v>8760</v>
      </c>
      <c r="L621" s="32" t="str">
        <f t="shared" si="18"/>
        <v>CF2.2W1誘導灯C級片面</v>
      </c>
      <c r="M621" s="14">
        <f>VLOOKUP(L621,照明器具一覧!$B$4:$F$129,5,FALSE)</f>
        <v>4</v>
      </c>
      <c r="N621" s="14">
        <v>1</v>
      </c>
      <c r="O621" s="142">
        <f t="shared" si="19"/>
        <v>35.04</v>
      </c>
    </row>
    <row r="622" spans="1:15">
      <c r="A622" s="2" t="s">
        <v>1243</v>
      </c>
      <c r="B622" s="78" t="s">
        <v>1499</v>
      </c>
      <c r="C622" s="2" t="s">
        <v>67</v>
      </c>
      <c r="D622" s="2" t="s">
        <v>99</v>
      </c>
      <c r="E622" s="2" t="s">
        <v>77</v>
      </c>
      <c r="F622" s="2" t="s">
        <v>45</v>
      </c>
      <c r="G622" s="2" t="s">
        <v>97</v>
      </c>
      <c r="H622" s="5">
        <v>1</v>
      </c>
      <c r="I622" s="2" t="s">
        <v>594</v>
      </c>
      <c r="J622" s="2">
        <v>1</v>
      </c>
      <c r="K622" s="32">
        <f>VLOOKUP(E622,照明設備稼働時間!$A$4:$E$31,5,FALSE)</f>
        <v>8760</v>
      </c>
      <c r="L622" s="32" t="str">
        <f t="shared" si="18"/>
        <v>CF2.2W1誘導灯C級片面</v>
      </c>
      <c r="M622" s="14">
        <f>VLOOKUP(L622,照明器具一覧!$B$4:$F$129,5,FALSE)</f>
        <v>4</v>
      </c>
      <c r="N622" s="14">
        <v>1</v>
      </c>
      <c r="O622" s="142">
        <f t="shared" si="19"/>
        <v>35.04</v>
      </c>
    </row>
    <row r="623" spans="1:15">
      <c r="A623" s="2" t="s">
        <v>1244</v>
      </c>
      <c r="B623" s="78" t="s">
        <v>1499</v>
      </c>
      <c r="C623" s="2" t="s">
        <v>68</v>
      </c>
      <c r="D623" s="2" t="s">
        <v>99</v>
      </c>
      <c r="E623" s="2" t="s">
        <v>77</v>
      </c>
      <c r="F623" s="2" t="s">
        <v>45</v>
      </c>
      <c r="G623" s="2" t="s">
        <v>98</v>
      </c>
      <c r="H623" s="5">
        <v>1</v>
      </c>
      <c r="I623" s="2" t="s">
        <v>594</v>
      </c>
      <c r="J623" s="2">
        <v>1</v>
      </c>
      <c r="K623" s="32">
        <f>VLOOKUP(E623,照明設備稼働時間!$A$4:$E$31,5,FALSE)</f>
        <v>8760</v>
      </c>
      <c r="L623" s="32" t="str">
        <f t="shared" si="18"/>
        <v>CF2W1誘導灯C級片面</v>
      </c>
      <c r="M623" s="14">
        <f>VLOOKUP(L623,照明器具一覧!$B$4:$F$129,5,FALSE)</f>
        <v>4</v>
      </c>
      <c r="N623" s="14">
        <v>1</v>
      </c>
      <c r="O623" s="142">
        <f t="shared" si="19"/>
        <v>35.04</v>
      </c>
    </row>
    <row r="624" spans="1:15">
      <c r="A624" s="2" t="s">
        <v>1245</v>
      </c>
      <c r="B624" s="78" t="s">
        <v>1499</v>
      </c>
      <c r="C624" s="2" t="s">
        <v>67</v>
      </c>
      <c r="D624" s="2" t="s">
        <v>99</v>
      </c>
      <c r="E624" s="2" t="s">
        <v>77</v>
      </c>
      <c r="F624" s="2" t="s">
        <v>65</v>
      </c>
      <c r="G624" s="2" t="s">
        <v>97</v>
      </c>
      <c r="H624" s="5">
        <v>1</v>
      </c>
      <c r="I624" s="2" t="s">
        <v>594</v>
      </c>
      <c r="J624" s="2">
        <v>1</v>
      </c>
      <c r="K624" s="32">
        <f>VLOOKUP(E624,照明設備稼働時間!$A$4:$E$31,5,FALSE)</f>
        <v>8760</v>
      </c>
      <c r="L624" s="32" t="str">
        <f t="shared" si="18"/>
        <v>CF2.2W1誘導灯C級片面</v>
      </c>
      <c r="M624" s="14">
        <f>VLOOKUP(L624,照明器具一覧!$B$4:$F$129,5,FALSE)</f>
        <v>4</v>
      </c>
      <c r="N624" s="14">
        <v>1</v>
      </c>
      <c r="O624" s="142">
        <f t="shared" si="19"/>
        <v>35.04</v>
      </c>
    </row>
    <row r="625" spans="1:15">
      <c r="A625" s="2" t="s">
        <v>1246</v>
      </c>
      <c r="B625" s="78" t="s">
        <v>1499</v>
      </c>
      <c r="C625" s="2" t="s">
        <v>69</v>
      </c>
      <c r="D625" s="2" t="s">
        <v>99</v>
      </c>
      <c r="E625" s="2" t="s">
        <v>77</v>
      </c>
      <c r="F625" s="2" t="s">
        <v>49</v>
      </c>
      <c r="G625" s="2" t="s">
        <v>97</v>
      </c>
      <c r="H625" s="5">
        <v>1</v>
      </c>
      <c r="I625" s="2" t="s">
        <v>594</v>
      </c>
      <c r="J625" s="2">
        <v>1</v>
      </c>
      <c r="K625" s="32">
        <f>VLOOKUP(E625,照明設備稼働時間!$A$4:$E$31,5,FALSE)</f>
        <v>8760</v>
      </c>
      <c r="L625" s="32" t="str">
        <f t="shared" si="18"/>
        <v>CF2.2W1誘導灯C級片面</v>
      </c>
      <c r="M625" s="14">
        <f>VLOOKUP(L625,照明器具一覧!$B$4:$F$129,5,FALSE)</f>
        <v>4</v>
      </c>
      <c r="N625" s="14">
        <v>1</v>
      </c>
      <c r="O625" s="142">
        <f t="shared" si="19"/>
        <v>35.04</v>
      </c>
    </row>
    <row r="626" spans="1:15">
      <c r="A626" s="2" t="s">
        <v>1247</v>
      </c>
      <c r="B626" s="78" t="s">
        <v>1499</v>
      </c>
      <c r="C626" s="2" t="s">
        <v>67</v>
      </c>
      <c r="D626" s="2" t="s">
        <v>99</v>
      </c>
      <c r="E626" s="2" t="s">
        <v>77</v>
      </c>
      <c r="F626" s="2" t="s">
        <v>23</v>
      </c>
      <c r="G626" s="2" t="s">
        <v>97</v>
      </c>
      <c r="H626" s="5">
        <v>1</v>
      </c>
      <c r="I626" s="2" t="s">
        <v>594</v>
      </c>
      <c r="J626" s="2">
        <v>1</v>
      </c>
      <c r="K626" s="32">
        <f>VLOOKUP(E626,照明設備稼働時間!$A$4:$E$31,5,FALSE)</f>
        <v>8760</v>
      </c>
      <c r="L626" s="32" t="str">
        <f t="shared" si="18"/>
        <v>CF2.2W1誘導灯C級片面</v>
      </c>
      <c r="M626" s="14">
        <f>VLOOKUP(L626,照明器具一覧!$B$4:$F$129,5,FALSE)</f>
        <v>4</v>
      </c>
      <c r="N626" s="14">
        <v>1</v>
      </c>
      <c r="O626" s="142">
        <f t="shared" si="19"/>
        <v>35.04</v>
      </c>
    </row>
    <row r="627" spans="1:15">
      <c r="A627" s="2" t="s">
        <v>1248</v>
      </c>
      <c r="B627" s="78" t="s">
        <v>1499</v>
      </c>
      <c r="C627" s="2" t="s">
        <v>68</v>
      </c>
      <c r="D627" s="2" t="s">
        <v>99</v>
      </c>
      <c r="E627" s="2" t="s">
        <v>77</v>
      </c>
      <c r="F627" s="2" t="s">
        <v>23</v>
      </c>
      <c r="G627" s="2" t="s">
        <v>98</v>
      </c>
      <c r="H627" s="5">
        <v>1</v>
      </c>
      <c r="I627" s="2" t="s">
        <v>594</v>
      </c>
      <c r="J627" s="2">
        <v>1</v>
      </c>
      <c r="K627" s="32">
        <f>VLOOKUP(E627,照明設備稼働時間!$A$4:$E$31,5,FALSE)</f>
        <v>8760</v>
      </c>
      <c r="L627" s="32" t="str">
        <f t="shared" si="18"/>
        <v>CF2W1誘導灯C級片面</v>
      </c>
      <c r="M627" s="14">
        <f>VLOOKUP(L627,照明器具一覧!$B$4:$F$129,5,FALSE)</f>
        <v>4</v>
      </c>
      <c r="N627" s="14">
        <v>1</v>
      </c>
      <c r="O627" s="142">
        <f t="shared" si="19"/>
        <v>35.04</v>
      </c>
    </row>
    <row r="628" spans="1:15">
      <c r="A628" s="2" t="s">
        <v>1249</v>
      </c>
      <c r="B628" s="78" t="s">
        <v>1499</v>
      </c>
      <c r="C628" s="2" t="s">
        <v>69</v>
      </c>
      <c r="D628" s="2" t="s">
        <v>99</v>
      </c>
      <c r="E628" s="2" t="s">
        <v>77</v>
      </c>
      <c r="F628" s="2" t="s">
        <v>11</v>
      </c>
      <c r="G628" s="2" t="s">
        <v>97</v>
      </c>
      <c r="H628" s="5">
        <v>1</v>
      </c>
      <c r="I628" s="2" t="s">
        <v>594</v>
      </c>
      <c r="J628" s="2">
        <v>3</v>
      </c>
      <c r="K628" s="32">
        <f>VLOOKUP(E628,照明設備稼働時間!$A$4:$E$31,5,FALSE)</f>
        <v>8760</v>
      </c>
      <c r="L628" s="32" t="str">
        <f t="shared" si="18"/>
        <v>CF2.2W1誘導灯C級片面</v>
      </c>
      <c r="M628" s="14">
        <f>VLOOKUP(L628,照明器具一覧!$B$4:$F$129,5,FALSE)</f>
        <v>4</v>
      </c>
      <c r="N628" s="14">
        <v>1</v>
      </c>
      <c r="O628" s="142">
        <f t="shared" si="19"/>
        <v>105.12</v>
      </c>
    </row>
    <row r="629" spans="1:15">
      <c r="A629" s="2" t="s">
        <v>1250</v>
      </c>
      <c r="B629" s="78" t="s">
        <v>1499</v>
      </c>
      <c r="C629" s="2" t="s">
        <v>68</v>
      </c>
      <c r="D629" s="2" t="s">
        <v>99</v>
      </c>
      <c r="E629" s="2" t="s">
        <v>77</v>
      </c>
      <c r="F629" s="2" t="s">
        <v>11</v>
      </c>
      <c r="G629" s="2" t="s">
        <v>98</v>
      </c>
      <c r="H629" s="5">
        <v>1</v>
      </c>
      <c r="I629" s="2" t="s">
        <v>594</v>
      </c>
      <c r="J629" s="2">
        <v>7</v>
      </c>
      <c r="K629" s="32">
        <f>VLOOKUP(E629,照明設備稼働時間!$A$4:$E$31,5,FALSE)</f>
        <v>8760</v>
      </c>
      <c r="L629" s="32" t="str">
        <f t="shared" si="18"/>
        <v>CF2W1誘導灯C級片面</v>
      </c>
      <c r="M629" s="14">
        <f>VLOOKUP(L629,照明器具一覧!$B$4:$F$129,5,FALSE)</f>
        <v>4</v>
      </c>
      <c r="N629" s="14">
        <v>1</v>
      </c>
      <c r="O629" s="142">
        <f t="shared" si="19"/>
        <v>245.28</v>
      </c>
    </row>
    <row r="630" spans="1:15">
      <c r="A630" s="2" t="s">
        <v>1251</v>
      </c>
      <c r="B630" s="78" t="s">
        <v>1499</v>
      </c>
      <c r="C630" s="2" t="s">
        <v>134</v>
      </c>
      <c r="D630" s="2" t="s">
        <v>99</v>
      </c>
      <c r="E630" s="2" t="s">
        <v>77</v>
      </c>
      <c r="F630" s="2" t="s">
        <v>11</v>
      </c>
      <c r="G630" s="2" t="s">
        <v>97</v>
      </c>
      <c r="H630" s="5">
        <v>1</v>
      </c>
      <c r="I630" s="2" t="s">
        <v>594</v>
      </c>
      <c r="J630" s="2">
        <v>1</v>
      </c>
      <c r="K630" s="32">
        <f>VLOOKUP(E630,照明設備稼働時間!$A$4:$E$31,5,FALSE)</f>
        <v>8760</v>
      </c>
      <c r="L630" s="32" t="str">
        <f t="shared" si="18"/>
        <v>CF2.2W1誘導灯C級片面</v>
      </c>
      <c r="M630" s="14">
        <f>VLOOKUP(L630,照明器具一覧!$B$4:$F$129,5,FALSE)</f>
        <v>4</v>
      </c>
      <c r="N630" s="14">
        <v>1</v>
      </c>
      <c r="O630" s="142">
        <f t="shared" si="19"/>
        <v>35.04</v>
      </c>
    </row>
    <row r="631" spans="1:15">
      <c r="A631" s="2" t="s">
        <v>1252</v>
      </c>
      <c r="B631" s="78" t="s">
        <v>1499</v>
      </c>
      <c r="C631" s="2"/>
      <c r="D631" s="2" t="s">
        <v>99</v>
      </c>
      <c r="E631" s="2" t="s">
        <v>624</v>
      </c>
      <c r="F631" s="2" t="s">
        <v>71</v>
      </c>
      <c r="G631" s="2" t="s">
        <v>72</v>
      </c>
      <c r="H631" s="5">
        <v>1</v>
      </c>
      <c r="I631" s="29" t="s">
        <v>585</v>
      </c>
      <c r="J631" s="2">
        <v>87</v>
      </c>
      <c r="K631" s="32">
        <f>VLOOKUP(E631,照明設備稼働時間!$A$4:$E$31,5,FALSE)</f>
        <v>0</v>
      </c>
      <c r="L631" s="32" t="str">
        <f t="shared" si="18"/>
        <v>IL60W1非常照明　電源別置型</v>
      </c>
      <c r="M631" s="14">
        <f>VLOOKUP(L631,照明器具一覧!$B$4:$F$129,5,FALSE)</f>
        <v>60</v>
      </c>
      <c r="N631" s="14">
        <v>1</v>
      </c>
      <c r="O631" s="142">
        <f t="shared" si="19"/>
        <v>0</v>
      </c>
    </row>
    <row r="632" spans="1:15">
      <c r="A632" s="2" t="s">
        <v>1253</v>
      </c>
      <c r="B632" s="78" t="s">
        <v>1499</v>
      </c>
      <c r="C632" s="29" t="s">
        <v>581</v>
      </c>
      <c r="D632" s="2" t="s">
        <v>99</v>
      </c>
      <c r="E632" s="2" t="s">
        <v>624</v>
      </c>
      <c r="F632" s="29" t="s">
        <v>71</v>
      </c>
      <c r="G632" s="29" t="s">
        <v>218</v>
      </c>
      <c r="H632" s="34">
        <v>1</v>
      </c>
      <c r="I632" s="29" t="s">
        <v>585</v>
      </c>
      <c r="J632" s="29">
        <v>4</v>
      </c>
      <c r="K632" s="32">
        <f>VLOOKUP(E632,照明設備稼働時間!$A$4:$E$31,5,FALSE)</f>
        <v>0</v>
      </c>
      <c r="L632" s="32" t="str">
        <f t="shared" si="18"/>
        <v>IL40W1非常照明　電源別置型</v>
      </c>
      <c r="M632" s="14">
        <f>VLOOKUP(L632,照明器具一覧!$B$4:$F$129,5,FALSE)</f>
        <v>40</v>
      </c>
      <c r="N632" s="14">
        <v>1</v>
      </c>
      <c r="O632" s="142">
        <f t="shared" si="19"/>
        <v>0</v>
      </c>
    </row>
    <row r="633" spans="1:15">
      <c r="A633" s="2" t="s">
        <v>1254</v>
      </c>
      <c r="B633" s="78" t="s">
        <v>1499</v>
      </c>
      <c r="C633" s="29" t="s">
        <v>582</v>
      </c>
      <c r="D633" s="2" t="s">
        <v>99</v>
      </c>
      <c r="E633" s="2" t="s">
        <v>624</v>
      </c>
      <c r="F633" s="29" t="s">
        <v>71</v>
      </c>
      <c r="G633" s="29" t="s">
        <v>218</v>
      </c>
      <c r="H633" s="34">
        <v>1</v>
      </c>
      <c r="I633" s="29" t="s">
        <v>585</v>
      </c>
      <c r="J633" s="29">
        <v>5</v>
      </c>
      <c r="K633" s="32">
        <f>VLOOKUP(E633,照明設備稼働時間!$A$4:$E$31,5,FALSE)</f>
        <v>0</v>
      </c>
      <c r="L633" s="32" t="str">
        <f t="shared" si="18"/>
        <v>IL40W1非常照明　電源別置型</v>
      </c>
      <c r="M633" s="14">
        <f>VLOOKUP(L633,照明器具一覧!$B$4:$F$129,5,FALSE)</f>
        <v>40</v>
      </c>
      <c r="N633" s="14">
        <v>1</v>
      </c>
      <c r="O633" s="142">
        <f t="shared" si="19"/>
        <v>0</v>
      </c>
    </row>
    <row r="634" spans="1:15">
      <c r="A634" s="2" t="s">
        <v>1255</v>
      </c>
      <c r="B634" s="78" t="s">
        <v>1499</v>
      </c>
      <c r="C634" s="48" t="s">
        <v>282</v>
      </c>
      <c r="D634" s="2" t="s">
        <v>133</v>
      </c>
      <c r="E634" s="2" t="s">
        <v>606</v>
      </c>
      <c r="F634" s="2" t="s">
        <v>135</v>
      </c>
      <c r="G634" s="2" t="s">
        <v>21</v>
      </c>
      <c r="H634" s="5">
        <v>1</v>
      </c>
      <c r="I634" s="2" t="s">
        <v>91</v>
      </c>
      <c r="J634" s="2">
        <v>1</v>
      </c>
      <c r="K634" s="32">
        <f>VLOOKUP(E634,照明設備稼働時間!$A$4:$E$31,5,FALSE)</f>
        <v>242</v>
      </c>
      <c r="L634" s="32" t="str">
        <f t="shared" si="18"/>
        <v>FHF32W1逆富士</v>
      </c>
      <c r="M634" s="14">
        <f>VLOOKUP(L634,照明器具一覧!$B$4:$F$129,5,FALSE)</f>
        <v>36</v>
      </c>
      <c r="N634" s="14">
        <v>1</v>
      </c>
      <c r="O634" s="142">
        <f t="shared" si="19"/>
        <v>8.7119999999999997</v>
      </c>
    </row>
    <row r="635" spans="1:15">
      <c r="A635" s="2" t="s">
        <v>1256</v>
      </c>
      <c r="B635" s="78" t="s">
        <v>1499</v>
      </c>
      <c r="C635" s="48" t="s">
        <v>282</v>
      </c>
      <c r="D635" s="2" t="s">
        <v>133</v>
      </c>
      <c r="E635" s="29" t="s">
        <v>1513</v>
      </c>
      <c r="F635" s="2" t="s">
        <v>22</v>
      </c>
      <c r="G635" s="2" t="s">
        <v>21</v>
      </c>
      <c r="H635" s="5">
        <v>1</v>
      </c>
      <c r="I635" s="2" t="s">
        <v>91</v>
      </c>
      <c r="J635" s="2">
        <v>1</v>
      </c>
      <c r="K635" s="32">
        <f>VLOOKUP(E635,照明設備稼働時間!$A$4:$E$31,5,FALSE)</f>
        <v>484</v>
      </c>
      <c r="L635" s="32" t="str">
        <f t="shared" si="18"/>
        <v>FHF32W1逆富士</v>
      </c>
      <c r="M635" s="14">
        <f>VLOOKUP(L635,照明器具一覧!$B$4:$F$129,5,FALSE)</f>
        <v>36</v>
      </c>
      <c r="N635" s="14">
        <v>1</v>
      </c>
      <c r="O635" s="142">
        <f t="shared" si="19"/>
        <v>17.423999999999999</v>
      </c>
    </row>
    <row r="636" spans="1:15">
      <c r="A636" s="2" t="s">
        <v>1257</v>
      </c>
      <c r="B636" s="78" t="s">
        <v>1499</v>
      </c>
      <c r="C636" s="48" t="s">
        <v>283</v>
      </c>
      <c r="D636" s="2" t="s">
        <v>133</v>
      </c>
      <c r="E636" s="2" t="s">
        <v>601</v>
      </c>
      <c r="F636" s="2" t="s">
        <v>23</v>
      </c>
      <c r="G636" s="2" t="s">
        <v>21</v>
      </c>
      <c r="H636" s="5">
        <v>1</v>
      </c>
      <c r="I636" s="2" t="s">
        <v>511</v>
      </c>
      <c r="J636" s="2">
        <v>3</v>
      </c>
      <c r="K636" s="32">
        <f>VLOOKUP(E636,照明設備稼働時間!$A$4:$E$31,5,FALSE)</f>
        <v>2299</v>
      </c>
      <c r="L636" s="32" t="str">
        <f t="shared" si="18"/>
        <v>FHF32W1埋込W190</v>
      </c>
      <c r="M636" s="14">
        <f>VLOOKUP(L636,照明器具一覧!$B$4:$F$129,5,FALSE)</f>
        <v>36</v>
      </c>
      <c r="N636" s="14">
        <v>0.33</v>
      </c>
      <c r="O636" s="142">
        <f t="shared" si="19"/>
        <v>81.936360000000008</v>
      </c>
    </row>
    <row r="637" spans="1:15">
      <c r="A637" s="2" t="s">
        <v>1258</v>
      </c>
      <c r="B637" s="78" t="s">
        <v>1499</v>
      </c>
      <c r="C637" s="48" t="s">
        <v>284</v>
      </c>
      <c r="D637" s="2" t="s">
        <v>133</v>
      </c>
      <c r="E637" s="2" t="s">
        <v>1507</v>
      </c>
      <c r="F637" s="2" t="s">
        <v>24</v>
      </c>
      <c r="G637" s="2" t="s">
        <v>19</v>
      </c>
      <c r="H637" s="5">
        <v>1</v>
      </c>
      <c r="I637" s="2" t="s">
        <v>506</v>
      </c>
      <c r="J637" s="2">
        <v>1</v>
      </c>
      <c r="K637" s="32">
        <f>VLOOKUP(E637,照明設備稼働時間!$A$4:$E$31,5,FALSE)</f>
        <v>0</v>
      </c>
      <c r="L637" s="32" t="str">
        <f t="shared" si="18"/>
        <v>FHF16W1片反射笠付(高出力)</v>
      </c>
      <c r="M637" s="14">
        <f>VLOOKUP(L637,照明器具一覧!$B$4:$F$129,5,FALSE)</f>
        <v>26</v>
      </c>
      <c r="N637" s="14">
        <v>1</v>
      </c>
      <c r="O637" s="142">
        <f t="shared" si="19"/>
        <v>0</v>
      </c>
    </row>
    <row r="638" spans="1:15">
      <c r="A638" s="2" t="s">
        <v>1259</v>
      </c>
      <c r="B638" s="78" t="s">
        <v>1499</v>
      </c>
      <c r="C638" s="48" t="s">
        <v>285</v>
      </c>
      <c r="D638" s="2" t="s">
        <v>133</v>
      </c>
      <c r="E638" s="2" t="s">
        <v>601</v>
      </c>
      <c r="F638" s="2" t="s">
        <v>25</v>
      </c>
      <c r="G638" s="2" t="s">
        <v>21</v>
      </c>
      <c r="H638" s="5">
        <v>1</v>
      </c>
      <c r="I638" s="2" t="s">
        <v>554</v>
      </c>
      <c r="J638" s="2">
        <v>1</v>
      </c>
      <c r="K638" s="32">
        <f>VLOOKUP(E638,照明設備稼働時間!$A$4:$E$31,5,FALSE)</f>
        <v>2299</v>
      </c>
      <c r="L638" s="32" t="str">
        <f t="shared" si="18"/>
        <v>FHF32W1階段灯　非常灯付</v>
      </c>
      <c r="M638" s="14">
        <f>VLOOKUP(L638,照明器具一覧!$B$4:$F$129,5,FALSE)</f>
        <v>36</v>
      </c>
      <c r="N638" s="14">
        <v>1</v>
      </c>
      <c r="O638" s="142">
        <f t="shared" si="19"/>
        <v>82.763999999999996</v>
      </c>
    </row>
    <row r="639" spans="1:15">
      <c r="A639" s="2" t="s">
        <v>1260</v>
      </c>
      <c r="B639" s="78" t="s">
        <v>1499</v>
      </c>
      <c r="C639" s="48" t="s">
        <v>286</v>
      </c>
      <c r="D639" s="2" t="s">
        <v>133</v>
      </c>
      <c r="E639" s="2" t="s">
        <v>601</v>
      </c>
      <c r="F639" s="2" t="s">
        <v>25</v>
      </c>
      <c r="G639" s="2" t="s">
        <v>21</v>
      </c>
      <c r="H639" s="5">
        <v>1</v>
      </c>
      <c r="I639" s="2" t="s">
        <v>554</v>
      </c>
      <c r="J639" s="2">
        <v>1</v>
      </c>
      <c r="K639" s="32">
        <f>VLOOKUP(E639,照明設備稼働時間!$A$4:$E$31,5,FALSE)</f>
        <v>2299</v>
      </c>
      <c r="L639" s="32" t="str">
        <f t="shared" si="18"/>
        <v>FHF32W1階段灯　非常灯付</v>
      </c>
      <c r="M639" s="14">
        <f>VLOOKUP(L639,照明器具一覧!$B$4:$F$129,5,FALSE)</f>
        <v>36</v>
      </c>
      <c r="N639" s="14">
        <v>1</v>
      </c>
      <c r="O639" s="142">
        <f t="shared" si="19"/>
        <v>82.763999999999996</v>
      </c>
    </row>
    <row r="640" spans="1:15">
      <c r="A640" s="2" t="s">
        <v>1261</v>
      </c>
      <c r="B640" s="78" t="s">
        <v>1499</v>
      </c>
      <c r="C640" s="48" t="s">
        <v>282</v>
      </c>
      <c r="D640" s="2" t="s">
        <v>133</v>
      </c>
      <c r="E640" s="2" t="s">
        <v>603</v>
      </c>
      <c r="F640" s="2" t="s">
        <v>27</v>
      </c>
      <c r="G640" s="2" t="s">
        <v>21</v>
      </c>
      <c r="H640" s="5">
        <v>1</v>
      </c>
      <c r="I640" s="2" t="s">
        <v>91</v>
      </c>
      <c r="J640" s="2">
        <v>1</v>
      </c>
      <c r="K640" s="32">
        <f>VLOOKUP(E640,照明設備稼働時間!$A$4:$E$31,5,FALSE)</f>
        <v>968</v>
      </c>
      <c r="L640" s="32" t="str">
        <f t="shared" si="18"/>
        <v>FHF32W1逆富士</v>
      </c>
      <c r="M640" s="14">
        <f>VLOOKUP(L640,照明器具一覧!$B$4:$F$129,5,FALSE)</f>
        <v>36</v>
      </c>
      <c r="N640" s="14">
        <v>1</v>
      </c>
      <c r="O640" s="142">
        <f t="shared" si="19"/>
        <v>34.847999999999999</v>
      </c>
    </row>
    <row r="641" spans="1:15">
      <c r="A641" s="2" t="s">
        <v>1262</v>
      </c>
      <c r="B641" s="78" t="s">
        <v>1499</v>
      </c>
      <c r="C641" s="48"/>
      <c r="D641" s="2" t="s">
        <v>133</v>
      </c>
      <c r="E641" s="2" t="s">
        <v>603</v>
      </c>
      <c r="F641" s="2" t="s">
        <v>27</v>
      </c>
      <c r="G641" s="2" t="s">
        <v>31</v>
      </c>
      <c r="H641" s="5">
        <v>1</v>
      </c>
      <c r="I641" s="2" t="s">
        <v>316</v>
      </c>
      <c r="J641" s="2">
        <v>2</v>
      </c>
      <c r="K641" s="32">
        <f>VLOOKUP(E641,照明設備稼働時間!$A$4:$E$31,5,FALSE)</f>
        <v>968</v>
      </c>
      <c r="L641" s="32" t="str">
        <f t="shared" si="18"/>
        <v>LED電球1レセップ</v>
      </c>
      <c r="M641" s="14">
        <f>VLOOKUP(L641,照明器具一覧!$B$4:$F$129,5,FALSE)</f>
        <v>4.5999999999999996</v>
      </c>
      <c r="N641" s="14">
        <v>0.5</v>
      </c>
      <c r="O641" s="142">
        <f t="shared" si="19"/>
        <v>4.452799999999999</v>
      </c>
    </row>
    <row r="642" spans="1:15">
      <c r="A642" s="2" t="s">
        <v>1263</v>
      </c>
      <c r="B642" s="78" t="s">
        <v>1499</v>
      </c>
      <c r="C642" s="48" t="s">
        <v>282</v>
      </c>
      <c r="D642" s="2" t="s">
        <v>133</v>
      </c>
      <c r="E642" s="2" t="s">
        <v>603</v>
      </c>
      <c r="F642" s="2" t="s">
        <v>26</v>
      </c>
      <c r="G642" s="2" t="s">
        <v>21</v>
      </c>
      <c r="H642" s="5">
        <v>1</v>
      </c>
      <c r="I642" s="2" t="s">
        <v>91</v>
      </c>
      <c r="J642" s="2">
        <v>1</v>
      </c>
      <c r="K642" s="32">
        <f>VLOOKUP(E642,照明設備稼働時間!$A$4:$E$31,5,FALSE)</f>
        <v>968</v>
      </c>
      <c r="L642" s="32" t="str">
        <f t="shared" si="18"/>
        <v>FHF32W1逆富士</v>
      </c>
      <c r="M642" s="14">
        <f>VLOOKUP(L642,照明器具一覧!$B$4:$F$129,5,FALSE)</f>
        <v>36</v>
      </c>
      <c r="N642" s="14">
        <v>1</v>
      </c>
      <c r="O642" s="142">
        <f t="shared" si="19"/>
        <v>34.847999999999999</v>
      </c>
    </row>
    <row r="643" spans="1:15">
      <c r="A643" s="2" t="s">
        <v>1264</v>
      </c>
      <c r="B643" s="78" t="s">
        <v>1499</v>
      </c>
      <c r="C643" s="48"/>
      <c r="D643" s="2" t="s">
        <v>133</v>
      </c>
      <c r="E643" s="2" t="s">
        <v>603</v>
      </c>
      <c r="F643" s="2" t="s">
        <v>26</v>
      </c>
      <c r="G643" s="2" t="s">
        <v>31</v>
      </c>
      <c r="H643" s="5">
        <v>1</v>
      </c>
      <c r="I643" s="2" t="s">
        <v>316</v>
      </c>
      <c r="J643" s="2">
        <v>3</v>
      </c>
      <c r="K643" s="32">
        <f>VLOOKUP(E643,照明設備稼働時間!$A$4:$E$31,5,FALSE)</f>
        <v>968</v>
      </c>
      <c r="L643" s="32" t="str">
        <f t="shared" si="18"/>
        <v>LED電球1レセップ</v>
      </c>
      <c r="M643" s="14">
        <f>VLOOKUP(L643,照明器具一覧!$B$4:$F$129,5,FALSE)</f>
        <v>4.5999999999999996</v>
      </c>
      <c r="N643" s="14">
        <v>0.66</v>
      </c>
      <c r="O643" s="142">
        <f t="shared" si="19"/>
        <v>8.8165440000000004</v>
      </c>
    </row>
    <row r="644" spans="1:15">
      <c r="A644" s="2" t="s">
        <v>1265</v>
      </c>
      <c r="B644" s="78" t="s">
        <v>1499</v>
      </c>
      <c r="C644" s="48" t="s">
        <v>372</v>
      </c>
      <c r="D644" s="2" t="s">
        <v>133</v>
      </c>
      <c r="E644" s="2" t="s">
        <v>1511</v>
      </c>
      <c r="F644" s="2" t="s">
        <v>136</v>
      </c>
      <c r="G644" s="2" t="s">
        <v>21</v>
      </c>
      <c r="H644" s="5">
        <v>6</v>
      </c>
      <c r="I644" s="2" t="s">
        <v>379</v>
      </c>
      <c r="J644" s="2">
        <v>2</v>
      </c>
      <c r="K644" s="32">
        <f>VLOOKUP(E644,照明設備稼働時間!$A$4:$E$31,5,FALSE)</f>
        <v>589</v>
      </c>
      <c r="L644" s="32" t="str">
        <f t="shared" ref="L644:L707" si="20">G644&amp;H644&amp;I644</f>
        <v>FHF32W6スクエア</v>
      </c>
      <c r="M644" s="14">
        <f>VLOOKUP(L644,照明器具一覧!$B$4:$F$129,5,FALSE)</f>
        <v>213</v>
      </c>
      <c r="N644" s="14">
        <v>1</v>
      </c>
      <c r="O644" s="142">
        <f t="shared" si="19"/>
        <v>250.91399999999999</v>
      </c>
    </row>
    <row r="645" spans="1:15">
      <c r="A645" s="2" t="s">
        <v>1266</v>
      </c>
      <c r="B645" s="78" t="s">
        <v>1499</v>
      </c>
      <c r="C645" s="48" t="s">
        <v>290</v>
      </c>
      <c r="D645" s="2" t="s">
        <v>133</v>
      </c>
      <c r="E645" s="2" t="s">
        <v>1511</v>
      </c>
      <c r="F645" s="2" t="s">
        <v>136</v>
      </c>
      <c r="G645" s="2" t="s">
        <v>21</v>
      </c>
      <c r="H645" s="5">
        <v>1</v>
      </c>
      <c r="I645" s="2" t="s">
        <v>89</v>
      </c>
      <c r="J645" s="2">
        <v>2</v>
      </c>
      <c r="K645" s="32">
        <f>VLOOKUP(E645,照明設備稼働時間!$A$4:$E$31,5,FALSE)</f>
        <v>589</v>
      </c>
      <c r="L645" s="32" t="str">
        <f t="shared" si="20"/>
        <v>FHF32W1トラフ</v>
      </c>
      <c r="M645" s="14">
        <f>VLOOKUP(L645,照明器具一覧!$B$4:$F$129,5,FALSE)</f>
        <v>36</v>
      </c>
      <c r="N645" s="14">
        <v>1</v>
      </c>
      <c r="O645" s="142">
        <f t="shared" ref="O645:O708" si="21">(M645*J645*K645*N645)/1000</f>
        <v>42.408000000000001</v>
      </c>
    </row>
    <row r="646" spans="1:15">
      <c r="A646" s="2" t="s">
        <v>1267</v>
      </c>
      <c r="B646" s="78" t="s">
        <v>1499</v>
      </c>
      <c r="C646" s="48" t="s">
        <v>526</v>
      </c>
      <c r="D646" s="2" t="s">
        <v>133</v>
      </c>
      <c r="E646" s="2" t="s">
        <v>1511</v>
      </c>
      <c r="F646" s="2" t="s">
        <v>136</v>
      </c>
      <c r="G646" s="2" t="s">
        <v>19</v>
      </c>
      <c r="H646" s="5">
        <v>1</v>
      </c>
      <c r="I646" s="2" t="s">
        <v>528</v>
      </c>
      <c r="J646" s="2">
        <v>1</v>
      </c>
      <c r="K646" s="32">
        <f>VLOOKUP(E646,照明設備稼働時間!$A$4:$E$31,5,FALSE)</f>
        <v>589</v>
      </c>
      <c r="L646" s="32" t="str">
        <f t="shared" si="20"/>
        <v>FHF16W1トラフ　高出力</v>
      </c>
      <c r="M646" s="14">
        <f>VLOOKUP(L646,照明器具一覧!$B$4:$F$129,5,FALSE)</f>
        <v>26</v>
      </c>
      <c r="N646" s="14">
        <v>1</v>
      </c>
      <c r="O646" s="142">
        <f t="shared" si="21"/>
        <v>15.314</v>
      </c>
    </row>
    <row r="647" spans="1:15">
      <c r="A647" s="2" t="s">
        <v>1268</v>
      </c>
      <c r="B647" s="78" t="s">
        <v>1499</v>
      </c>
      <c r="C647" s="48"/>
      <c r="D647" s="2" t="s">
        <v>133</v>
      </c>
      <c r="E647" s="2" t="s">
        <v>1511</v>
      </c>
      <c r="F647" s="2" t="s">
        <v>136</v>
      </c>
      <c r="G647" s="2" t="s">
        <v>72</v>
      </c>
      <c r="H647" s="5">
        <v>1</v>
      </c>
      <c r="I647" s="2" t="s">
        <v>73</v>
      </c>
      <c r="J647" s="2">
        <v>4</v>
      </c>
      <c r="K647" s="32">
        <f>VLOOKUP(E647,照明設備稼働時間!$A$4:$E$31,5,FALSE)</f>
        <v>589</v>
      </c>
      <c r="L647" s="32" t="str">
        <f t="shared" si="20"/>
        <v>IL60W1ダウンライト</v>
      </c>
      <c r="M647" s="14">
        <f>VLOOKUP(L647,照明器具一覧!$B$4:$F$129,5,FALSE)</f>
        <v>60</v>
      </c>
      <c r="N647" s="14">
        <v>1</v>
      </c>
      <c r="O647" s="142">
        <f t="shared" si="21"/>
        <v>141.36000000000001</v>
      </c>
    </row>
    <row r="648" spans="1:15">
      <c r="A648" s="2" t="s">
        <v>1269</v>
      </c>
      <c r="B648" s="78" t="s">
        <v>1499</v>
      </c>
      <c r="C648" s="48" t="s">
        <v>527</v>
      </c>
      <c r="D648" s="2" t="s">
        <v>133</v>
      </c>
      <c r="E648" s="2" t="s">
        <v>1511</v>
      </c>
      <c r="F648" s="2" t="s">
        <v>137</v>
      </c>
      <c r="G648" s="2" t="s">
        <v>21</v>
      </c>
      <c r="H648" s="5">
        <v>30</v>
      </c>
      <c r="I648" s="2" t="s">
        <v>529</v>
      </c>
      <c r="J648" s="2">
        <v>1</v>
      </c>
      <c r="K648" s="32">
        <f>VLOOKUP(E648,照明設備稼働時間!$A$4:$E$31,5,FALSE)</f>
        <v>589</v>
      </c>
      <c r="L648" s="32" t="str">
        <f t="shared" si="20"/>
        <v>FHF32W30スクエア　埋込ルーバ</v>
      </c>
      <c r="M648" s="14">
        <f>VLOOKUP(L648,照明器具一覧!$B$4:$F$129,5,FALSE)</f>
        <v>1080</v>
      </c>
      <c r="N648" s="14">
        <v>1</v>
      </c>
      <c r="O648" s="142">
        <f t="shared" si="21"/>
        <v>636.12</v>
      </c>
    </row>
    <row r="649" spans="1:15">
      <c r="A649" s="2" t="s">
        <v>1270</v>
      </c>
      <c r="B649" s="78" t="s">
        <v>1499</v>
      </c>
      <c r="C649" s="48" t="s">
        <v>290</v>
      </c>
      <c r="D649" s="2" t="s">
        <v>133</v>
      </c>
      <c r="E649" s="2" t="s">
        <v>1511</v>
      </c>
      <c r="F649" s="2" t="s">
        <v>137</v>
      </c>
      <c r="G649" s="2" t="s">
        <v>21</v>
      </c>
      <c r="H649" s="5">
        <v>1</v>
      </c>
      <c r="I649" s="2" t="s">
        <v>89</v>
      </c>
      <c r="J649" s="2">
        <v>4</v>
      </c>
      <c r="K649" s="32">
        <f>VLOOKUP(E649,照明設備稼働時間!$A$4:$E$31,5,FALSE)</f>
        <v>589</v>
      </c>
      <c r="L649" s="32" t="str">
        <f t="shared" si="20"/>
        <v>FHF32W1トラフ</v>
      </c>
      <c r="M649" s="14">
        <f>VLOOKUP(L649,照明器具一覧!$B$4:$F$129,5,FALSE)</f>
        <v>36</v>
      </c>
      <c r="N649" s="14">
        <v>1</v>
      </c>
      <c r="O649" s="142">
        <f t="shared" si="21"/>
        <v>84.816000000000003</v>
      </c>
    </row>
    <row r="650" spans="1:15">
      <c r="A650" s="2" t="s">
        <v>1271</v>
      </c>
      <c r="B650" s="78" t="s">
        <v>1499</v>
      </c>
      <c r="C650" s="48"/>
      <c r="D650" s="2" t="s">
        <v>133</v>
      </c>
      <c r="E650" s="2" t="s">
        <v>1511</v>
      </c>
      <c r="F650" s="2" t="s">
        <v>137</v>
      </c>
      <c r="G650" s="2" t="s">
        <v>72</v>
      </c>
      <c r="H650" s="5">
        <v>1</v>
      </c>
      <c r="I650" s="2" t="s">
        <v>73</v>
      </c>
      <c r="J650" s="2">
        <v>18</v>
      </c>
      <c r="K650" s="32">
        <f>VLOOKUP(E650,照明設備稼働時間!$A$4:$E$31,5,FALSE)</f>
        <v>589</v>
      </c>
      <c r="L650" s="32" t="str">
        <f t="shared" si="20"/>
        <v>IL60W1ダウンライト</v>
      </c>
      <c r="M650" s="14">
        <f>VLOOKUP(L650,照明器具一覧!$B$4:$F$129,5,FALSE)</f>
        <v>60</v>
      </c>
      <c r="N650" s="14">
        <v>1</v>
      </c>
      <c r="O650" s="142">
        <f t="shared" si="21"/>
        <v>636.12</v>
      </c>
    </row>
    <row r="651" spans="1:15">
      <c r="A651" s="2" t="s">
        <v>1272</v>
      </c>
      <c r="B651" s="78" t="s">
        <v>1499</v>
      </c>
      <c r="C651" s="48"/>
      <c r="D651" s="2" t="s">
        <v>133</v>
      </c>
      <c r="E651" s="2" t="s">
        <v>1511</v>
      </c>
      <c r="F651" s="2" t="s">
        <v>137</v>
      </c>
      <c r="G651" s="2" t="s">
        <v>125</v>
      </c>
      <c r="H651" s="5">
        <v>1</v>
      </c>
      <c r="I651" s="2" t="s">
        <v>530</v>
      </c>
      <c r="J651" s="2">
        <v>4</v>
      </c>
      <c r="K651" s="32">
        <f>VLOOKUP(E651,照明設備稼働時間!$A$4:$E$31,5,FALSE)</f>
        <v>589</v>
      </c>
      <c r="L651" s="32" t="str">
        <f t="shared" si="20"/>
        <v>MF100W1ダウンライト　角型</v>
      </c>
      <c r="M651" s="14">
        <f>VLOOKUP(L651,照明器具一覧!$B$4:$F$129,5,FALSE)</f>
        <v>100</v>
      </c>
      <c r="N651" s="14">
        <v>1</v>
      </c>
      <c r="O651" s="142">
        <f t="shared" si="21"/>
        <v>235.6</v>
      </c>
    </row>
    <row r="652" spans="1:15">
      <c r="A652" s="2" t="s">
        <v>1273</v>
      </c>
      <c r="B652" s="78" t="s">
        <v>1499</v>
      </c>
      <c r="C652" s="48" t="s">
        <v>372</v>
      </c>
      <c r="D652" s="2" t="s">
        <v>133</v>
      </c>
      <c r="E652" s="2" t="s">
        <v>1511</v>
      </c>
      <c r="F652" s="2" t="s">
        <v>138</v>
      </c>
      <c r="G652" s="2" t="s">
        <v>21</v>
      </c>
      <c r="H652" s="5">
        <v>6</v>
      </c>
      <c r="I652" s="2" t="s">
        <v>379</v>
      </c>
      <c r="J652" s="2">
        <v>3</v>
      </c>
      <c r="K652" s="32">
        <f>VLOOKUP(E652,照明設備稼働時間!$A$4:$E$31,5,FALSE)</f>
        <v>589</v>
      </c>
      <c r="L652" s="32" t="str">
        <f t="shared" si="20"/>
        <v>FHF32W6スクエア</v>
      </c>
      <c r="M652" s="14">
        <f>VLOOKUP(L652,照明器具一覧!$B$4:$F$129,5,FALSE)</f>
        <v>213</v>
      </c>
      <c r="N652" s="14">
        <v>1</v>
      </c>
      <c r="O652" s="142">
        <f t="shared" si="21"/>
        <v>376.37099999999998</v>
      </c>
    </row>
    <row r="653" spans="1:15">
      <c r="A653" s="2" t="s">
        <v>1274</v>
      </c>
      <c r="B653" s="78" t="s">
        <v>1499</v>
      </c>
      <c r="C653" s="48" t="s">
        <v>290</v>
      </c>
      <c r="D653" s="2" t="s">
        <v>133</v>
      </c>
      <c r="E653" s="2" t="s">
        <v>1511</v>
      </c>
      <c r="F653" s="2" t="s">
        <v>138</v>
      </c>
      <c r="G653" s="2" t="s">
        <v>21</v>
      </c>
      <c r="H653" s="5">
        <v>1</v>
      </c>
      <c r="I653" s="2" t="s">
        <v>89</v>
      </c>
      <c r="J653" s="2">
        <v>2</v>
      </c>
      <c r="K653" s="32">
        <f>VLOOKUP(E653,照明設備稼働時間!$A$4:$E$31,5,FALSE)</f>
        <v>589</v>
      </c>
      <c r="L653" s="32" t="str">
        <f t="shared" si="20"/>
        <v>FHF32W1トラフ</v>
      </c>
      <c r="M653" s="14">
        <f>VLOOKUP(L653,照明器具一覧!$B$4:$F$129,5,FALSE)</f>
        <v>36</v>
      </c>
      <c r="N653" s="14">
        <v>1</v>
      </c>
      <c r="O653" s="142">
        <f t="shared" si="21"/>
        <v>42.408000000000001</v>
      </c>
    </row>
    <row r="654" spans="1:15">
      <c r="A654" s="2" t="s">
        <v>1275</v>
      </c>
      <c r="B654" s="78" t="s">
        <v>1499</v>
      </c>
      <c r="C654" s="48"/>
      <c r="D654" s="2" t="s">
        <v>133</v>
      </c>
      <c r="E654" s="2" t="s">
        <v>1511</v>
      </c>
      <c r="F654" s="2" t="s">
        <v>138</v>
      </c>
      <c r="G654" s="2" t="s">
        <v>72</v>
      </c>
      <c r="H654" s="5">
        <v>1</v>
      </c>
      <c r="I654" s="2" t="s">
        <v>73</v>
      </c>
      <c r="J654" s="2">
        <v>14</v>
      </c>
      <c r="K654" s="32">
        <f>VLOOKUP(E654,照明設備稼働時間!$A$4:$E$31,5,FALSE)</f>
        <v>589</v>
      </c>
      <c r="L654" s="32" t="str">
        <f t="shared" si="20"/>
        <v>IL60W1ダウンライト</v>
      </c>
      <c r="M654" s="14">
        <f>VLOOKUP(L654,照明器具一覧!$B$4:$F$129,5,FALSE)</f>
        <v>60</v>
      </c>
      <c r="N654" s="14">
        <v>1</v>
      </c>
      <c r="O654" s="142">
        <f t="shared" si="21"/>
        <v>494.76</v>
      </c>
    </row>
    <row r="655" spans="1:15">
      <c r="A655" s="2" t="s">
        <v>1276</v>
      </c>
      <c r="B655" s="78" t="s">
        <v>1499</v>
      </c>
      <c r="C655" s="48"/>
      <c r="D655" s="2" t="s">
        <v>133</v>
      </c>
      <c r="E655" s="2" t="s">
        <v>1511</v>
      </c>
      <c r="F655" s="2" t="s">
        <v>138</v>
      </c>
      <c r="G655" s="2" t="s">
        <v>125</v>
      </c>
      <c r="H655" s="5">
        <v>1</v>
      </c>
      <c r="I655" s="2" t="s">
        <v>530</v>
      </c>
      <c r="J655" s="2">
        <v>3</v>
      </c>
      <c r="K655" s="32">
        <f>VLOOKUP(E655,照明設備稼働時間!$A$4:$E$31,5,FALSE)</f>
        <v>589</v>
      </c>
      <c r="L655" s="32" t="str">
        <f t="shared" si="20"/>
        <v>MF100W1ダウンライト　角型</v>
      </c>
      <c r="M655" s="14">
        <f>VLOOKUP(L655,照明器具一覧!$B$4:$F$129,5,FALSE)</f>
        <v>100</v>
      </c>
      <c r="N655" s="14">
        <v>1</v>
      </c>
      <c r="O655" s="142">
        <f t="shared" si="21"/>
        <v>176.7</v>
      </c>
    </row>
    <row r="656" spans="1:15">
      <c r="A656" s="2" t="s">
        <v>1277</v>
      </c>
      <c r="B656" s="78" t="s">
        <v>1499</v>
      </c>
      <c r="C656" s="48" t="s">
        <v>372</v>
      </c>
      <c r="D656" s="2" t="s">
        <v>133</v>
      </c>
      <c r="E656" s="2" t="s">
        <v>1511</v>
      </c>
      <c r="F656" s="2" t="s">
        <v>139</v>
      </c>
      <c r="G656" s="2" t="s">
        <v>21</v>
      </c>
      <c r="H656" s="5">
        <v>6</v>
      </c>
      <c r="I656" s="2" t="s">
        <v>379</v>
      </c>
      <c r="J656" s="2">
        <v>1</v>
      </c>
      <c r="K656" s="32">
        <f>VLOOKUP(E656,照明設備稼働時間!$A$4:$E$31,5,FALSE)</f>
        <v>589</v>
      </c>
      <c r="L656" s="32" t="str">
        <f t="shared" si="20"/>
        <v>FHF32W6スクエア</v>
      </c>
      <c r="M656" s="14">
        <f>VLOOKUP(L656,照明器具一覧!$B$4:$F$129,5,FALSE)</f>
        <v>213</v>
      </c>
      <c r="N656" s="14">
        <v>1</v>
      </c>
      <c r="O656" s="142">
        <f t="shared" si="21"/>
        <v>125.45699999999999</v>
      </c>
    </row>
    <row r="657" spans="1:15">
      <c r="A657" s="2" t="s">
        <v>1278</v>
      </c>
      <c r="B657" s="78" t="s">
        <v>1499</v>
      </c>
      <c r="C657" s="48" t="s">
        <v>290</v>
      </c>
      <c r="D657" s="2" t="s">
        <v>133</v>
      </c>
      <c r="E657" s="2" t="s">
        <v>1511</v>
      </c>
      <c r="F657" s="2" t="s">
        <v>139</v>
      </c>
      <c r="G657" s="2" t="s">
        <v>21</v>
      </c>
      <c r="H657" s="5">
        <v>1</v>
      </c>
      <c r="I657" s="2" t="s">
        <v>89</v>
      </c>
      <c r="J657" s="2">
        <v>1</v>
      </c>
      <c r="K657" s="32">
        <f>VLOOKUP(E657,照明設備稼働時間!$A$4:$E$31,5,FALSE)</f>
        <v>589</v>
      </c>
      <c r="L657" s="32" t="str">
        <f t="shared" si="20"/>
        <v>FHF32W1トラフ</v>
      </c>
      <c r="M657" s="14">
        <f>VLOOKUP(L657,照明器具一覧!$B$4:$F$129,5,FALSE)</f>
        <v>36</v>
      </c>
      <c r="N657" s="14">
        <v>1</v>
      </c>
      <c r="O657" s="142">
        <f t="shared" si="21"/>
        <v>21.204000000000001</v>
      </c>
    </row>
    <row r="658" spans="1:15">
      <c r="A658" s="2" t="s">
        <v>1279</v>
      </c>
      <c r="B658" s="78" t="s">
        <v>1499</v>
      </c>
      <c r="C658" s="48"/>
      <c r="D658" s="2" t="s">
        <v>133</v>
      </c>
      <c r="E658" s="2" t="s">
        <v>1511</v>
      </c>
      <c r="F658" s="2" t="s">
        <v>139</v>
      </c>
      <c r="G658" s="2" t="s">
        <v>72</v>
      </c>
      <c r="H658" s="5">
        <v>1</v>
      </c>
      <c r="I658" s="2" t="s">
        <v>73</v>
      </c>
      <c r="J658" s="2">
        <v>11</v>
      </c>
      <c r="K658" s="32">
        <f>VLOOKUP(E658,照明設備稼働時間!$A$4:$E$31,5,FALSE)</f>
        <v>589</v>
      </c>
      <c r="L658" s="32" t="str">
        <f t="shared" si="20"/>
        <v>IL60W1ダウンライト</v>
      </c>
      <c r="M658" s="14">
        <f>VLOOKUP(L658,照明器具一覧!$B$4:$F$129,5,FALSE)</f>
        <v>60</v>
      </c>
      <c r="N658" s="14">
        <v>1</v>
      </c>
      <c r="O658" s="142">
        <f t="shared" si="21"/>
        <v>388.74</v>
      </c>
    </row>
    <row r="659" spans="1:15">
      <c r="A659" s="2" t="s">
        <v>1280</v>
      </c>
      <c r="B659" s="78" t="s">
        <v>1499</v>
      </c>
      <c r="C659" s="48" t="s">
        <v>289</v>
      </c>
      <c r="D659" s="2" t="s">
        <v>133</v>
      </c>
      <c r="E659" s="2" t="s">
        <v>601</v>
      </c>
      <c r="F659" s="2" t="s">
        <v>11</v>
      </c>
      <c r="G659" s="2" t="s">
        <v>21</v>
      </c>
      <c r="H659" s="5">
        <v>1</v>
      </c>
      <c r="I659" s="2" t="s">
        <v>89</v>
      </c>
      <c r="J659" s="2">
        <v>46</v>
      </c>
      <c r="K659" s="32">
        <f>VLOOKUP(E659,照明設備稼働時間!$A$4:$E$31,5,FALSE)</f>
        <v>2299</v>
      </c>
      <c r="L659" s="32" t="str">
        <f t="shared" si="20"/>
        <v>FHF32W1トラフ</v>
      </c>
      <c r="M659" s="14">
        <f>VLOOKUP(L659,照明器具一覧!$B$4:$F$129,5,FALSE)</f>
        <v>36</v>
      </c>
      <c r="N659" s="14">
        <v>0.33</v>
      </c>
      <c r="O659" s="142">
        <f t="shared" si="21"/>
        <v>1256.35752</v>
      </c>
    </row>
    <row r="660" spans="1:15">
      <c r="A660" s="2" t="s">
        <v>1281</v>
      </c>
      <c r="B660" s="78" t="s">
        <v>1499</v>
      </c>
      <c r="C660" s="48" t="s">
        <v>290</v>
      </c>
      <c r="D660" s="2" t="s">
        <v>133</v>
      </c>
      <c r="E660" s="2" t="s">
        <v>601</v>
      </c>
      <c r="F660" s="2" t="s">
        <v>11</v>
      </c>
      <c r="G660" s="2" t="s">
        <v>21</v>
      </c>
      <c r="H660" s="5">
        <v>1</v>
      </c>
      <c r="I660" s="2" t="s">
        <v>89</v>
      </c>
      <c r="J660" s="2">
        <v>2</v>
      </c>
      <c r="K660" s="32">
        <f>VLOOKUP(E660,照明設備稼働時間!$A$4:$E$31,5,FALSE)</f>
        <v>2299</v>
      </c>
      <c r="L660" s="32" t="str">
        <f t="shared" si="20"/>
        <v>FHF32W1トラフ</v>
      </c>
      <c r="M660" s="14">
        <f>VLOOKUP(L660,照明器具一覧!$B$4:$F$129,5,FALSE)</f>
        <v>36</v>
      </c>
      <c r="N660" s="14">
        <v>0.33</v>
      </c>
      <c r="O660" s="142">
        <f t="shared" si="21"/>
        <v>54.624240000000007</v>
      </c>
    </row>
    <row r="661" spans="1:15">
      <c r="A661" s="2" t="s">
        <v>1282</v>
      </c>
      <c r="B661" s="78" t="s">
        <v>1499</v>
      </c>
      <c r="C661" s="48"/>
      <c r="D661" s="2" t="s">
        <v>133</v>
      </c>
      <c r="E661" s="2" t="s">
        <v>601</v>
      </c>
      <c r="F661" s="2" t="s">
        <v>573</v>
      </c>
      <c r="G661" s="2" t="s">
        <v>72</v>
      </c>
      <c r="H661" s="5">
        <v>1</v>
      </c>
      <c r="I661" s="2" t="s">
        <v>73</v>
      </c>
      <c r="J661" s="2">
        <v>9</v>
      </c>
      <c r="K661" s="32">
        <f>VLOOKUP(E661,照明設備稼働時間!$A$4:$E$31,5,FALSE)</f>
        <v>2299</v>
      </c>
      <c r="L661" s="32" t="str">
        <f t="shared" si="20"/>
        <v>IL60W1ダウンライト</v>
      </c>
      <c r="M661" s="14">
        <f>VLOOKUP(L661,照明器具一覧!$B$4:$F$129,5,FALSE)</f>
        <v>60</v>
      </c>
      <c r="N661" s="14">
        <v>1</v>
      </c>
      <c r="O661" s="142">
        <f t="shared" si="21"/>
        <v>1241.46</v>
      </c>
    </row>
    <row r="662" spans="1:15">
      <c r="A662" s="2" t="s">
        <v>1283</v>
      </c>
      <c r="B662" s="78" t="s">
        <v>1499</v>
      </c>
      <c r="C662" s="48"/>
      <c r="D662" s="2" t="s">
        <v>133</v>
      </c>
      <c r="E662" s="2" t="s">
        <v>601</v>
      </c>
      <c r="F662" s="2" t="s">
        <v>574</v>
      </c>
      <c r="G662" s="2" t="s">
        <v>72</v>
      </c>
      <c r="H662" s="5">
        <v>1</v>
      </c>
      <c r="I662" s="2" t="s">
        <v>73</v>
      </c>
      <c r="J662" s="2">
        <v>30</v>
      </c>
      <c r="K662" s="32">
        <f>VLOOKUP(E662,照明設備稼働時間!$A$4:$E$31,5,FALSE)</f>
        <v>2299</v>
      </c>
      <c r="L662" s="32" t="str">
        <f t="shared" si="20"/>
        <v>IL60W1ダウンライト</v>
      </c>
      <c r="M662" s="14">
        <f>VLOOKUP(L662,照明器具一覧!$B$4:$F$129,5,FALSE)</f>
        <v>60</v>
      </c>
      <c r="N662" s="14">
        <v>1</v>
      </c>
      <c r="O662" s="142">
        <f t="shared" si="21"/>
        <v>4138.2</v>
      </c>
    </row>
    <row r="663" spans="1:15">
      <c r="A663" s="2" t="s">
        <v>1284</v>
      </c>
      <c r="B663" s="78" t="s">
        <v>1499</v>
      </c>
      <c r="C663" s="48"/>
      <c r="D663" s="2" t="s">
        <v>133</v>
      </c>
      <c r="E663" s="2" t="s">
        <v>601</v>
      </c>
      <c r="F663" s="2" t="s">
        <v>11</v>
      </c>
      <c r="G663" s="2" t="s">
        <v>75</v>
      </c>
      <c r="H663" s="5">
        <v>1</v>
      </c>
      <c r="I663" s="2" t="s">
        <v>76</v>
      </c>
      <c r="J663" s="2">
        <v>5</v>
      </c>
      <c r="K663" s="32">
        <f>VLOOKUP(E663,照明設備稼働時間!$A$4:$E$31,5,FALSE)</f>
        <v>2299</v>
      </c>
      <c r="L663" s="32" t="str">
        <f t="shared" si="20"/>
        <v>LED1ユニバーサルダウンライト</v>
      </c>
      <c r="M663" s="14">
        <f>VLOOKUP(L663,照明器具一覧!$B$4:$F$129,5,FALSE)</f>
        <v>10</v>
      </c>
      <c r="N663" s="14">
        <v>0.33</v>
      </c>
      <c r="O663" s="142">
        <f t="shared" si="21"/>
        <v>37.933500000000002</v>
      </c>
    </row>
    <row r="664" spans="1:15">
      <c r="A664" s="2" t="s">
        <v>1285</v>
      </c>
      <c r="B664" s="78" t="s">
        <v>1499</v>
      </c>
      <c r="C664" s="48"/>
      <c r="D664" s="2" t="s">
        <v>133</v>
      </c>
      <c r="E664" s="2" t="s">
        <v>601</v>
      </c>
      <c r="F664" s="2" t="s">
        <v>148</v>
      </c>
      <c r="G664" s="2" t="s">
        <v>72</v>
      </c>
      <c r="H664" s="5">
        <v>1</v>
      </c>
      <c r="I664" s="2" t="s">
        <v>73</v>
      </c>
      <c r="J664" s="2">
        <v>22</v>
      </c>
      <c r="K664" s="32">
        <f>VLOOKUP(E664,照明設備稼働時間!$A$4:$E$31,5,FALSE)</f>
        <v>2299</v>
      </c>
      <c r="L664" s="32" t="str">
        <f t="shared" si="20"/>
        <v>IL60W1ダウンライト</v>
      </c>
      <c r="M664" s="14">
        <f>VLOOKUP(L664,照明器具一覧!$B$4:$F$129,5,FALSE)</f>
        <v>60</v>
      </c>
      <c r="N664" s="14">
        <v>1</v>
      </c>
      <c r="O664" s="142">
        <f t="shared" si="21"/>
        <v>3034.68</v>
      </c>
    </row>
    <row r="665" spans="1:15">
      <c r="A665" s="2" t="s">
        <v>1286</v>
      </c>
      <c r="B665" s="78" t="s">
        <v>1499</v>
      </c>
      <c r="C665" s="48"/>
      <c r="D665" s="2" t="s">
        <v>133</v>
      </c>
      <c r="E665" s="2" t="s">
        <v>601</v>
      </c>
      <c r="F665" s="2" t="s">
        <v>148</v>
      </c>
      <c r="G665" s="2" t="s">
        <v>125</v>
      </c>
      <c r="H665" s="5">
        <v>1</v>
      </c>
      <c r="I665" s="2" t="s">
        <v>530</v>
      </c>
      <c r="J665" s="2">
        <v>3</v>
      </c>
      <c r="K665" s="32">
        <f>VLOOKUP(E665,照明設備稼働時間!$A$4:$E$31,5,FALSE)</f>
        <v>2299</v>
      </c>
      <c r="L665" s="32" t="str">
        <f t="shared" si="20"/>
        <v>MF100W1ダウンライト　角型</v>
      </c>
      <c r="M665" s="14">
        <f>VLOOKUP(L665,照明器具一覧!$B$4:$F$129,5,FALSE)</f>
        <v>100</v>
      </c>
      <c r="N665" s="14">
        <v>1</v>
      </c>
      <c r="O665" s="142">
        <f t="shared" si="21"/>
        <v>689.7</v>
      </c>
    </row>
    <row r="666" spans="1:15">
      <c r="A666" s="2" t="s">
        <v>1287</v>
      </c>
      <c r="B666" s="78" t="s">
        <v>1499</v>
      </c>
      <c r="C666" s="48" t="s">
        <v>372</v>
      </c>
      <c r="D666" s="2" t="s">
        <v>133</v>
      </c>
      <c r="E666" s="2" t="s">
        <v>1511</v>
      </c>
      <c r="F666" s="2" t="s">
        <v>140</v>
      </c>
      <c r="G666" s="2" t="s">
        <v>21</v>
      </c>
      <c r="H666" s="5">
        <v>6</v>
      </c>
      <c r="I666" s="2" t="s">
        <v>379</v>
      </c>
      <c r="J666" s="2">
        <v>2</v>
      </c>
      <c r="K666" s="32">
        <f>VLOOKUP(E666,照明設備稼働時間!$A$4:$E$31,5,FALSE)</f>
        <v>589</v>
      </c>
      <c r="L666" s="32" t="str">
        <f t="shared" si="20"/>
        <v>FHF32W6スクエア</v>
      </c>
      <c r="M666" s="14">
        <f>VLOOKUP(L666,照明器具一覧!$B$4:$F$129,5,FALSE)</f>
        <v>213</v>
      </c>
      <c r="N666" s="14">
        <v>1</v>
      </c>
      <c r="O666" s="142">
        <f t="shared" si="21"/>
        <v>250.91399999999999</v>
      </c>
    </row>
    <row r="667" spans="1:15">
      <c r="A667" s="2" t="s">
        <v>1288</v>
      </c>
      <c r="B667" s="78" t="s">
        <v>1499</v>
      </c>
      <c r="C667" s="48" t="s">
        <v>290</v>
      </c>
      <c r="D667" s="2" t="s">
        <v>133</v>
      </c>
      <c r="E667" s="2" t="s">
        <v>1511</v>
      </c>
      <c r="F667" s="2" t="s">
        <v>140</v>
      </c>
      <c r="G667" s="2" t="s">
        <v>21</v>
      </c>
      <c r="H667" s="5">
        <v>1</v>
      </c>
      <c r="I667" s="2" t="s">
        <v>89</v>
      </c>
      <c r="J667" s="2">
        <v>2</v>
      </c>
      <c r="K667" s="32">
        <f>VLOOKUP(E667,照明設備稼働時間!$A$4:$E$31,5,FALSE)</f>
        <v>589</v>
      </c>
      <c r="L667" s="32" t="str">
        <f t="shared" si="20"/>
        <v>FHF32W1トラフ</v>
      </c>
      <c r="M667" s="14">
        <f>VLOOKUP(L667,照明器具一覧!$B$4:$F$129,5,FALSE)</f>
        <v>36</v>
      </c>
      <c r="N667" s="14">
        <v>1</v>
      </c>
      <c r="O667" s="142">
        <f t="shared" si="21"/>
        <v>42.408000000000001</v>
      </c>
    </row>
    <row r="668" spans="1:15">
      <c r="A668" s="2" t="s">
        <v>1289</v>
      </c>
      <c r="B668" s="78" t="s">
        <v>1499</v>
      </c>
      <c r="C668" s="48" t="s">
        <v>526</v>
      </c>
      <c r="D668" s="2" t="s">
        <v>133</v>
      </c>
      <c r="E668" s="2" t="s">
        <v>1511</v>
      </c>
      <c r="F668" s="2" t="s">
        <v>140</v>
      </c>
      <c r="G668" s="2" t="s">
        <v>19</v>
      </c>
      <c r="H668" s="5">
        <v>1</v>
      </c>
      <c r="I668" s="2" t="s">
        <v>531</v>
      </c>
      <c r="J668" s="2">
        <v>1</v>
      </c>
      <c r="K668" s="32">
        <f>VLOOKUP(E668,照明設備稼働時間!$A$4:$E$31,5,FALSE)</f>
        <v>589</v>
      </c>
      <c r="L668" s="32" t="str">
        <f t="shared" si="20"/>
        <v>FHF16W1トラフ(高出力)</v>
      </c>
      <c r="M668" s="14">
        <f>VLOOKUP(L668,照明器具一覧!$B$4:$F$129,5,FALSE)</f>
        <v>26</v>
      </c>
      <c r="N668" s="14">
        <v>1</v>
      </c>
      <c r="O668" s="142">
        <f t="shared" si="21"/>
        <v>15.314</v>
      </c>
    </row>
    <row r="669" spans="1:15">
      <c r="A669" s="2" t="s">
        <v>1290</v>
      </c>
      <c r="B669" s="78" t="s">
        <v>1499</v>
      </c>
      <c r="C669" s="48"/>
      <c r="D669" s="2" t="s">
        <v>133</v>
      </c>
      <c r="E669" s="2" t="s">
        <v>1511</v>
      </c>
      <c r="F669" s="2" t="s">
        <v>140</v>
      </c>
      <c r="G669" s="2" t="s">
        <v>72</v>
      </c>
      <c r="H669" s="5">
        <v>1</v>
      </c>
      <c r="I669" s="2" t="s">
        <v>73</v>
      </c>
      <c r="J669" s="2">
        <v>4</v>
      </c>
      <c r="K669" s="32">
        <f>VLOOKUP(E669,照明設備稼働時間!$A$4:$E$31,5,FALSE)</f>
        <v>589</v>
      </c>
      <c r="L669" s="32" t="str">
        <f t="shared" si="20"/>
        <v>IL60W1ダウンライト</v>
      </c>
      <c r="M669" s="14">
        <f>VLOOKUP(L669,照明器具一覧!$B$4:$F$129,5,FALSE)</f>
        <v>60</v>
      </c>
      <c r="N669" s="14">
        <v>1</v>
      </c>
      <c r="O669" s="142">
        <f t="shared" si="21"/>
        <v>141.36000000000001</v>
      </c>
    </row>
    <row r="670" spans="1:15">
      <c r="A670" s="2" t="s">
        <v>1291</v>
      </c>
      <c r="B670" s="78" t="s">
        <v>1499</v>
      </c>
      <c r="C670" s="48" t="s">
        <v>372</v>
      </c>
      <c r="D670" s="2" t="s">
        <v>133</v>
      </c>
      <c r="E670" s="2" t="s">
        <v>1511</v>
      </c>
      <c r="F670" s="2" t="s">
        <v>141</v>
      </c>
      <c r="G670" s="2" t="s">
        <v>21</v>
      </c>
      <c r="H670" s="5">
        <v>6</v>
      </c>
      <c r="I670" s="2" t="s">
        <v>379</v>
      </c>
      <c r="J670" s="2">
        <v>1</v>
      </c>
      <c r="K670" s="32">
        <f>VLOOKUP(E670,照明設備稼働時間!$A$4:$E$31,5,FALSE)</f>
        <v>589</v>
      </c>
      <c r="L670" s="32" t="str">
        <f t="shared" si="20"/>
        <v>FHF32W6スクエア</v>
      </c>
      <c r="M670" s="14">
        <f>VLOOKUP(L670,照明器具一覧!$B$4:$F$129,5,FALSE)</f>
        <v>213</v>
      </c>
      <c r="N670" s="14">
        <v>1</v>
      </c>
      <c r="O670" s="142">
        <f t="shared" si="21"/>
        <v>125.45699999999999</v>
      </c>
    </row>
    <row r="671" spans="1:15">
      <c r="A671" s="2" t="s">
        <v>1292</v>
      </c>
      <c r="B671" s="78" t="s">
        <v>1499</v>
      </c>
      <c r="C671" s="48" t="s">
        <v>290</v>
      </c>
      <c r="D671" s="2" t="s">
        <v>133</v>
      </c>
      <c r="E671" s="2" t="s">
        <v>1511</v>
      </c>
      <c r="F671" s="2" t="s">
        <v>141</v>
      </c>
      <c r="G671" s="2" t="s">
        <v>21</v>
      </c>
      <c r="H671" s="5">
        <v>1</v>
      </c>
      <c r="I671" s="2" t="s">
        <v>89</v>
      </c>
      <c r="J671" s="2">
        <v>1</v>
      </c>
      <c r="K671" s="32">
        <f>VLOOKUP(E671,照明設備稼働時間!$A$4:$E$31,5,FALSE)</f>
        <v>589</v>
      </c>
      <c r="L671" s="32" t="str">
        <f t="shared" si="20"/>
        <v>FHF32W1トラフ</v>
      </c>
      <c r="M671" s="14">
        <f>VLOOKUP(L671,照明器具一覧!$B$4:$F$129,5,FALSE)</f>
        <v>36</v>
      </c>
      <c r="N671" s="14">
        <v>1</v>
      </c>
      <c r="O671" s="142">
        <f t="shared" si="21"/>
        <v>21.204000000000001</v>
      </c>
    </row>
    <row r="672" spans="1:15">
      <c r="A672" s="2" t="s">
        <v>1293</v>
      </c>
      <c r="B672" s="78" t="s">
        <v>1499</v>
      </c>
      <c r="C672" s="48"/>
      <c r="D672" s="2" t="s">
        <v>133</v>
      </c>
      <c r="E672" s="2" t="s">
        <v>1511</v>
      </c>
      <c r="F672" s="2" t="s">
        <v>141</v>
      </c>
      <c r="G672" s="2" t="s">
        <v>72</v>
      </c>
      <c r="H672" s="5">
        <v>1</v>
      </c>
      <c r="I672" s="2" t="s">
        <v>73</v>
      </c>
      <c r="J672" s="2">
        <v>11</v>
      </c>
      <c r="K672" s="32">
        <f>VLOOKUP(E672,照明設備稼働時間!$A$4:$E$31,5,FALSE)</f>
        <v>589</v>
      </c>
      <c r="L672" s="32" t="str">
        <f t="shared" si="20"/>
        <v>IL60W1ダウンライト</v>
      </c>
      <c r="M672" s="14">
        <f>VLOOKUP(L672,照明器具一覧!$B$4:$F$129,5,FALSE)</f>
        <v>60</v>
      </c>
      <c r="N672" s="14">
        <v>1</v>
      </c>
      <c r="O672" s="142">
        <f t="shared" si="21"/>
        <v>388.74</v>
      </c>
    </row>
    <row r="673" spans="1:15">
      <c r="A673" s="2" t="s">
        <v>1294</v>
      </c>
      <c r="B673" s="78" t="s">
        <v>1499</v>
      </c>
      <c r="C673" s="48" t="s">
        <v>289</v>
      </c>
      <c r="D673" s="2" t="s">
        <v>133</v>
      </c>
      <c r="E673" s="2" t="s">
        <v>265</v>
      </c>
      <c r="F673" s="2" t="s">
        <v>35</v>
      </c>
      <c r="G673" s="2" t="s">
        <v>21</v>
      </c>
      <c r="H673" s="5">
        <v>1</v>
      </c>
      <c r="I673" s="2" t="s">
        <v>89</v>
      </c>
      <c r="J673" s="2">
        <v>4</v>
      </c>
      <c r="K673" s="32">
        <f>VLOOKUP(E673,照明設備稼働時間!$A$4:$E$31,5,FALSE)</f>
        <v>2602</v>
      </c>
      <c r="L673" s="32" t="str">
        <f t="shared" si="20"/>
        <v>FHF32W1トラフ</v>
      </c>
      <c r="M673" s="14">
        <f>VLOOKUP(L673,照明器具一覧!$B$4:$F$129,5,FALSE)</f>
        <v>36</v>
      </c>
      <c r="N673" s="14">
        <v>1</v>
      </c>
      <c r="O673" s="142">
        <f t="shared" si="21"/>
        <v>374.68799999999999</v>
      </c>
    </row>
    <row r="674" spans="1:15">
      <c r="A674" s="2" t="s">
        <v>1295</v>
      </c>
      <c r="B674" s="78" t="s">
        <v>1499</v>
      </c>
      <c r="C674" s="48"/>
      <c r="D674" s="2" t="s">
        <v>133</v>
      </c>
      <c r="E674" s="2" t="s">
        <v>265</v>
      </c>
      <c r="F674" s="2" t="s">
        <v>35</v>
      </c>
      <c r="G674" s="2" t="s">
        <v>72</v>
      </c>
      <c r="H674" s="5">
        <v>1</v>
      </c>
      <c r="I674" s="2" t="s">
        <v>73</v>
      </c>
      <c r="J674" s="2">
        <v>4</v>
      </c>
      <c r="K674" s="32">
        <f>VLOOKUP(E674,照明設備稼働時間!$A$4:$E$31,5,FALSE)</f>
        <v>2602</v>
      </c>
      <c r="L674" s="32" t="str">
        <f t="shared" si="20"/>
        <v>IL60W1ダウンライト</v>
      </c>
      <c r="M674" s="14">
        <f>VLOOKUP(L674,照明器具一覧!$B$4:$F$129,5,FALSE)</f>
        <v>60</v>
      </c>
      <c r="N674" s="14">
        <v>1</v>
      </c>
      <c r="O674" s="142">
        <f t="shared" si="21"/>
        <v>624.48</v>
      </c>
    </row>
    <row r="675" spans="1:15">
      <c r="A675" s="2" t="s">
        <v>1296</v>
      </c>
      <c r="B675" s="78" t="s">
        <v>1499</v>
      </c>
      <c r="C675" s="48" t="s">
        <v>287</v>
      </c>
      <c r="D675" s="2" t="s">
        <v>133</v>
      </c>
      <c r="E675" s="2" t="s">
        <v>600</v>
      </c>
      <c r="F675" s="2" t="s">
        <v>142</v>
      </c>
      <c r="G675" s="2" t="s">
        <v>21</v>
      </c>
      <c r="H675" s="5">
        <v>2</v>
      </c>
      <c r="I675" s="2" t="s">
        <v>56</v>
      </c>
      <c r="J675" s="2">
        <v>4</v>
      </c>
      <c r="K675" s="32">
        <f>VLOOKUP(E675,照明設備稼働時間!$A$4:$E$31,5,FALSE)</f>
        <v>2299</v>
      </c>
      <c r="L675" s="32" t="str">
        <f t="shared" si="20"/>
        <v>FHF32W2システム天井</v>
      </c>
      <c r="M675" s="14">
        <f>VLOOKUP(L675,照明器具一覧!$B$4:$F$129,5,FALSE)</f>
        <v>72</v>
      </c>
      <c r="N675" s="14">
        <v>1</v>
      </c>
      <c r="O675" s="142">
        <f t="shared" si="21"/>
        <v>662.11199999999997</v>
      </c>
    </row>
    <row r="676" spans="1:15">
      <c r="A676" s="2" t="s">
        <v>1297</v>
      </c>
      <c r="B676" s="78" t="s">
        <v>1499</v>
      </c>
      <c r="C676" s="48" t="s">
        <v>507</v>
      </c>
      <c r="D676" s="2" t="s">
        <v>133</v>
      </c>
      <c r="E676" s="2" t="s">
        <v>1511</v>
      </c>
      <c r="F676" s="2" t="s">
        <v>143</v>
      </c>
      <c r="G676" s="2" t="s">
        <v>21</v>
      </c>
      <c r="H676" s="5">
        <v>6</v>
      </c>
      <c r="I676" s="2" t="s">
        <v>379</v>
      </c>
      <c r="J676" s="2">
        <v>1</v>
      </c>
      <c r="K676" s="32">
        <f>VLOOKUP(E676,照明設備稼働時間!$A$4:$E$31,5,FALSE)</f>
        <v>589</v>
      </c>
      <c r="L676" s="32" t="str">
        <f t="shared" si="20"/>
        <v>FHF32W6スクエア</v>
      </c>
      <c r="M676" s="14">
        <f>VLOOKUP(L676,照明器具一覧!$B$4:$F$129,5,FALSE)</f>
        <v>213</v>
      </c>
      <c r="N676" s="14">
        <v>1</v>
      </c>
      <c r="O676" s="142">
        <f t="shared" si="21"/>
        <v>125.45699999999999</v>
      </c>
    </row>
    <row r="677" spans="1:15">
      <c r="A677" s="2" t="s">
        <v>1298</v>
      </c>
      <c r="B677" s="78" t="s">
        <v>1499</v>
      </c>
      <c r="C677" s="48" t="s">
        <v>28</v>
      </c>
      <c r="D677" s="2" t="s">
        <v>133</v>
      </c>
      <c r="E677" s="2" t="s">
        <v>1508</v>
      </c>
      <c r="F677" s="2" t="s">
        <v>57</v>
      </c>
      <c r="G677" s="2" t="s">
        <v>21</v>
      </c>
      <c r="H677" s="5">
        <v>1</v>
      </c>
      <c r="I677" s="2" t="s">
        <v>511</v>
      </c>
      <c r="J677" s="2">
        <v>2</v>
      </c>
      <c r="K677" s="32">
        <f>VLOOKUP(E677,照明設備稼働時間!$A$4:$E$31,5,FALSE)</f>
        <v>8760</v>
      </c>
      <c r="L677" s="32" t="str">
        <f t="shared" si="20"/>
        <v>FHF32W1埋込W190</v>
      </c>
      <c r="M677" s="14">
        <f>VLOOKUP(L677,照明器具一覧!$B$4:$F$129,5,FALSE)</f>
        <v>36</v>
      </c>
      <c r="N677" s="14">
        <v>1</v>
      </c>
      <c r="O677" s="142">
        <f t="shared" si="21"/>
        <v>630.72</v>
      </c>
    </row>
    <row r="678" spans="1:15">
      <c r="A678" s="2" t="s">
        <v>1299</v>
      </c>
      <c r="B678" s="78" t="s">
        <v>1499</v>
      </c>
      <c r="C678" s="48"/>
      <c r="D678" s="2" t="s">
        <v>133</v>
      </c>
      <c r="E678" s="2" t="s">
        <v>1508</v>
      </c>
      <c r="F678" s="2" t="s">
        <v>57</v>
      </c>
      <c r="G678" s="2" t="s">
        <v>72</v>
      </c>
      <c r="H678" s="5">
        <v>1</v>
      </c>
      <c r="I678" s="2" t="s">
        <v>73</v>
      </c>
      <c r="J678" s="2">
        <v>1</v>
      </c>
      <c r="K678" s="32">
        <f>VLOOKUP(E678,照明設備稼働時間!$A$4:$E$31,5,FALSE)</f>
        <v>8760</v>
      </c>
      <c r="L678" s="32" t="str">
        <f t="shared" si="20"/>
        <v>IL60W1ダウンライト</v>
      </c>
      <c r="M678" s="14">
        <f>VLOOKUP(L678,照明器具一覧!$B$4:$F$129,5,FALSE)</f>
        <v>60</v>
      </c>
      <c r="N678" s="14">
        <v>1</v>
      </c>
      <c r="O678" s="142">
        <f t="shared" si="21"/>
        <v>525.6</v>
      </c>
    </row>
    <row r="679" spans="1:15">
      <c r="A679" s="2" t="s">
        <v>1300</v>
      </c>
      <c r="B679" s="78" t="s">
        <v>1499</v>
      </c>
      <c r="C679" s="48" t="s">
        <v>79</v>
      </c>
      <c r="D679" s="2" t="s">
        <v>133</v>
      </c>
      <c r="E679" s="2" t="s">
        <v>601</v>
      </c>
      <c r="F679" s="2" t="s">
        <v>36</v>
      </c>
      <c r="G679" s="2" t="s">
        <v>21</v>
      </c>
      <c r="H679" s="5">
        <v>1</v>
      </c>
      <c r="I679" s="2" t="s">
        <v>554</v>
      </c>
      <c r="J679" s="2">
        <v>1</v>
      </c>
      <c r="K679" s="32">
        <f>VLOOKUP(E679,照明設備稼働時間!$A$4:$E$31,5,FALSE)</f>
        <v>2299</v>
      </c>
      <c r="L679" s="32" t="str">
        <f t="shared" si="20"/>
        <v>FHF32W1階段灯　非常灯付</v>
      </c>
      <c r="M679" s="14">
        <f>VLOOKUP(L679,照明器具一覧!$B$4:$F$129,5,FALSE)</f>
        <v>36</v>
      </c>
      <c r="N679" s="14">
        <v>1</v>
      </c>
      <c r="O679" s="142">
        <f t="shared" si="21"/>
        <v>82.763999999999996</v>
      </c>
    </row>
    <row r="680" spans="1:15">
      <c r="A680" s="2" t="s">
        <v>1301</v>
      </c>
      <c r="B680" s="78" t="s">
        <v>1499</v>
      </c>
      <c r="C680" s="48" t="s">
        <v>80</v>
      </c>
      <c r="D680" s="2" t="s">
        <v>133</v>
      </c>
      <c r="E680" s="2" t="s">
        <v>601</v>
      </c>
      <c r="F680" s="2" t="s">
        <v>36</v>
      </c>
      <c r="G680" s="2" t="s">
        <v>21</v>
      </c>
      <c r="H680" s="5">
        <v>1</v>
      </c>
      <c r="I680" s="2" t="s">
        <v>554</v>
      </c>
      <c r="J680" s="2">
        <v>1</v>
      </c>
      <c r="K680" s="32">
        <f>VLOOKUP(E680,照明設備稼働時間!$A$4:$E$31,5,FALSE)</f>
        <v>2299</v>
      </c>
      <c r="L680" s="32" t="str">
        <f t="shared" si="20"/>
        <v>FHF32W1階段灯　非常灯付</v>
      </c>
      <c r="M680" s="14">
        <f>VLOOKUP(L680,照明器具一覧!$B$4:$F$129,5,FALSE)</f>
        <v>36</v>
      </c>
      <c r="N680" s="14">
        <v>1</v>
      </c>
      <c r="O680" s="142">
        <f t="shared" si="21"/>
        <v>82.763999999999996</v>
      </c>
    </row>
    <row r="681" spans="1:15">
      <c r="A681" s="2" t="s">
        <v>1302</v>
      </c>
      <c r="B681" s="78" t="s">
        <v>1499</v>
      </c>
      <c r="C681" s="48" t="s">
        <v>20</v>
      </c>
      <c r="D681" s="2" t="s">
        <v>133</v>
      </c>
      <c r="E681" s="2" t="s">
        <v>44</v>
      </c>
      <c r="F681" s="2" t="s">
        <v>37</v>
      </c>
      <c r="G681" s="2" t="s">
        <v>21</v>
      </c>
      <c r="H681" s="5">
        <v>1</v>
      </c>
      <c r="I681" s="2" t="s">
        <v>91</v>
      </c>
      <c r="J681" s="2">
        <v>2</v>
      </c>
      <c r="K681" s="32">
        <f>VLOOKUP(E681,照明設備稼働時間!$A$4:$E$31,5,FALSE)</f>
        <v>242</v>
      </c>
      <c r="L681" s="32" t="str">
        <f t="shared" si="20"/>
        <v>FHF32W1逆富士</v>
      </c>
      <c r="M681" s="14">
        <f>VLOOKUP(L681,照明器具一覧!$B$4:$F$129,5,FALSE)</f>
        <v>36</v>
      </c>
      <c r="N681" s="14">
        <v>1</v>
      </c>
      <c r="O681" s="142">
        <f t="shared" si="21"/>
        <v>17.423999999999999</v>
      </c>
    </row>
    <row r="682" spans="1:15">
      <c r="A682" s="2" t="s">
        <v>1303</v>
      </c>
      <c r="B682" s="78" t="s">
        <v>1499</v>
      </c>
      <c r="C682" s="48" t="s">
        <v>85</v>
      </c>
      <c r="D682" s="2" t="s">
        <v>133</v>
      </c>
      <c r="E682" s="2" t="s">
        <v>1507</v>
      </c>
      <c r="F682" s="2" t="s">
        <v>38</v>
      </c>
      <c r="G682" s="2" t="s">
        <v>21</v>
      </c>
      <c r="H682" s="5">
        <v>1</v>
      </c>
      <c r="I682" s="2" t="s">
        <v>524</v>
      </c>
      <c r="J682" s="2">
        <v>1</v>
      </c>
      <c r="K682" s="32">
        <f>VLOOKUP(E682,照明設備稼働時間!$A$4:$E$31,5,FALSE)</f>
        <v>0</v>
      </c>
      <c r="L682" s="32" t="str">
        <f t="shared" si="20"/>
        <v>FHF32W1片反射笠付</v>
      </c>
      <c r="M682" s="14">
        <f>VLOOKUP(L682,照明器具一覧!$B$4:$F$129,5,FALSE)</f>
        <v>36</v>
      </c>
      <c r="N682" s="14">
        <v>1</v>
      </c>
      <c r="O682" s="142">
        <f t="shared" si="21"/>
        <v>0</v>
      </c>
    </row>
    <row r="683" spans="1:15">
      <c r="A683" s="2" t="s">
        <v>1304</v>
      </c>
      <c r="B683" s="78" t="s">
        <v>1499</v>
      </c>
      <c r="C683" s="48" t="s">
        <v>86</v>
      </c>
      <c r="D683" s="2" t="s">
        <v>133</v>
      </c>
      <c r="E683" s="2" t="s">
        <v>601</v>
      </c>
      <c r="F683" s="2" t="s">
        <v>39</v>
      </c>
      <c r="G683" s="2" t="s">
        <v>19</v>
      </c>
      <c r="H683" s="5">
        <v>1</v>
      </c>
      <c r="I683" s="2" t="s">
        <v>93</v>
      </c>
      <c r="J683" s="2">
        <v>1</v>
      </c>
      <c r="K683" s="32">
        <f>VLOOKUP(E683,照明設備稼働時間!$A$4:$E$31,5,FALSE)</f>
        <v>2299</v>
      </c>
      <c r="L683" s="32" t="str">
        <f t="shared" si="20"/>
        <v>FHF16W1埋込　高出力</v>
      </c>
      <c r="M683" s="14">
        <f>VLOOKUP(L683,照明器具一覧!$B$4:$F$129,5,FALSE)</f>
        <v>26</v>
      </c>
      <c r="N683" s="14">
        <v>0.33</v>
      </c>
      <c r="O683" s="142">
        <f t="shared" si="21"/>
        <v>19.725420000000003</v>
      </c>
    </row>
    <row r="684" spans="1:15">
      <c r="A684" s="2" t="s">
        <v>1305</v>
      </c>
      <c r="B684" s="78" t="s">
        <v>1499</v>
      </c>
      <c r="C684" s="48" t="s">
        <v>81</v>
      </c>
      <c r="D684" s="2" t="s">
        <v>133</v>
      </c>
      <c r="E684" s="2" t="s">
        <v>600</v>
      </c>
      <c r="F684" s="2" t="s">
        <v>144</v>
      </c>
      <c r="G684" s="2" t="s">
        <v>21</v>
      </c>
      <c r="H684" s="5">
        <v>2</v>
      </c>
      <c r="I684" s="2" t="s">
        <v>56</v>
      </c>
      <c r="J684" s="2">
        <v>28</v>
      </c>
      <c r="K684" s="32">
        <f>VLOOKUP(E684,照明設備稼働時間!$A$4:$E$31,5,FALSE)</f>
        <v>2299</v>
      </c>
      <c r="L684" s="32" t="str">
        <f t="shared" si="20"/>
        <v>FHF32W2システム天井</v>
      </c>
      <c r="M684" s="14">
        <f>VLOOKUP(L684,照明器具一覧!$B$4:$F$129,5,FALSE)</f>
        <v>72</v>
      </c>
      <c r="N684" s="14">
        <v>1</v>
      </c>
      <c r="O684" s="142">
        <f t="shared" si="21"/>
        <v>4634.7839999999997</v>
      </c>
    </row>
    <row r="685" spans="1:15">
      <c r="A685" s="2" t="s">
        <v>1306</v>
      </c>
      <c r="B685" s="78" t="s">
        <v>1499</v>
      </c>
      <c r="C685" s="48" t="s">
        <v>81</v>
      </c>
      <c r="D685" s="2" t="s">
        <v>133</v>
      </c>
      <c r="E685" s="2" t="s">
        <v>600</v>
      </c>
      <c r="F685" s="2" t="s">
        <v>144</v>
      </c>
      <c r="G685" s="2" t="s">
        <v>21</v>
      </c>
      <c r="H685" s="5">
        <v>2</v>
      </c>
      <c r="I685" s="2" t="s">
        <v>56</v>
      </c>
      <c r="J685" s="2">
        <v>2</v>
      </c>
      <c r="K685" s="32">
        <f>VLOOKUP(E685,照明設備稼働時間!$A$4:$E$31,5,FALSE)</f>
        <v>2299</v>
      </c>
      <c r="L685" s="32" t="str">
        <f t="shared" si="20"/>
        <v>FHF32W2システム天井</v>
      </c>
      <c r="M685" s="14">
        <f>VLOOKUP(L685,照明器具一覧!$B$4:$F$129,5,FALSE)</f>
        <v>72</v>
      </c>
      <c r="N685" s="14">
        <v>1</v>
      </c>
      <c r="O685" s="142">
        <f t="shared" si="21"/>
        <v>331.05599999999998</v>
      </c>
    </row>
    <row r="686" spans="1:15">
      <c r="A686" s="2" t="s">
        <v>1307</v>
      </c>
      <c r="B686" s="78" t="s">
        <v>1499</v>
      </c>
      <c r="C686" s="48" t="s">
        <v>520</v>
      </c>
      <c r="D686" s="2" t="s">
        <v>133</v>
      </c>
      <c r="E686" s="2" t="s">
        <v>600</v>
      </c>
      <c r="F686" s="2" t="s">
        <v>144</v>
      </c>
      <c r="G686" s="2" t="s">
        <v>19</v>
      </c>
      <c r="H686" s="5">
        <v>2</v>
      </c>
      <c r="I686" s="2" t="s">
        <v>56</v>
      </c>
      <c r="J686" s="2">
        <v>2</v>
      </c>
      <c r="K686" s="32">
        <f>VLOOKUP(E686,照明設備稼働時間!$A$4:$E$31,5,FALSE)</f>
        <v>2299</v>
      </c>
      <c r="L686" s="32" t="str">
        <f t="shared" si="20"/>
        <v>FHF16W2システム天井</v>
      </c>
      <c r="M686" s="14">
        <f>VLOOKUP(L686,照明器具一覧!$B$4:$F$129,5,FALSE)</f>
        <v>26</v>
      </c>
      <c r="N686" s="14">
        <v>1</v>
      </c>
      <c r="O686" s="142">
        <f t="shared" si="21"/>
        <v>119.548</v>
      </c>
    </row>
    <row r="687" spans="1:15">
      <c r="A687" s="2" t="s">
        <v>1308</v>
      </c>
      <c r="B687" s="78" t="s">
        <v>1499</v>
      </c>
      <c r="C687" s="48" t="s">
        <v>20</v>
      </c>
      <c r="D687" s="2" t="s">
        <v>133</v>
      </c>
      <c r="E687" s="29" t="s">
        <v>1513</v>
      </c>
      <c r="F687" s="2" t="s">
        <v>114</v>
      </c>
      <c r="G687" s="2" t="s">
        <v>21</v>
      </c>
      <c r="H687" s="5">
        <v>1</v>
      </c>
      <c r="I687" s="2" t="s">
        <v>91</v>
      </c>
      <c r="J687" s="2">
        <v>2</v>
      </c>
      <c r="K687" s="32">
        <f>VLOOKUP(E687,照明設備稼働時間!$A$4:$E$31,5,FALSE)</f>
        <v>484</v>
      </c>
      <c r="L687" s="32" t="str">
        <f t="shared" si="20"/>
        <v>FHF32W1逆富士</v>
      </c>
      <c r="M687" s="14">
        <f>VLOOKUP(L687,照明器具一覧!$B$4:$F$129,5,FALSE)</f>
        <v>36</v>
      </c>
      <c r="N687" s="14">
        <v>1</v>
      </c>
      <c r="O687" s="142">
        <f t="shared" si="21"/>
        <v>34.847999999999999</v>
      </c>
    </row>
    <row r="688" spans="1:15">
      <c r="A688" s="2" t="s">
        <v>1309</v>
      </c>
      <c r="B688" s="78" t="s">
        <v>1499</v>
      </c>
      <c r="C688" s="48" t="s">
        <v>81</v>
      </c>
      <c r="D688" s="2" t="s">
        <v>133</v>
      </c>
      <c r="E688" s="2" t="s">
        <v>600</v>
      </c>
      <c r="F688" s="2" t="s">
        <v>145</v>
      </c>
      <c r="G688" s="2" t="s">
        <v>21</v>
      </c>
      <c r="H688" s="5">
        <v>2</v>
      </c>
      <c r="I688" s="2" t="s">
        <v>56</v>
      </c>
      <c r="J688" s="2">
        <v>4</v>
      </c>
      <c r="K688" s="32">
        <f>VLOOKUP(E688,照明設備稼働時間!$A$4:$E$31,5,FALSE)</f>
        <v>2299</v>
      </c>
      <c r="L688" s="32" t="str">
        <f t="shared" si="20"/>
        <v>FHF32W2システム天井</v>
      </c>
      <c r="M688" s="14">
        <f>VLOOKUP(L688,照明器具一覧!$B$4:$F$129,5,FALSE)</f>
        <v>72</v>
      </c>
      <c r="N688" s="14">
        <v>1</v>
      </c>
      <c r="O688" s="142">
        <f t="shared" si="21"/>
        <v>662.11199999999997</v>
      </c>
    </row>
    <row r="689" spans="1:15">
      <c r="A689" s="2" t="s">
        <v>1310</v>
      </c>
      <c r="B689" s="78" t="s">
        <v>1499</v>
      </c>
      <c r="C689" s="48" t="s">
        <v>81</v>
      </c>
      <c r="D689" s="2" t="s">
        <v>133</v>
      </c>
      <c r="E689" s="2" t="s">
        <v>600</v>
      </c>
      <c r="F689" s="2" t="s">
        <v>146</v>
      </c>
      <c r="G689" s="2" t="s">
        <v>21</v>
      </c>
      <c r="H689" s="5">
        <v>2</v>
      </c>
      <c r="I689" s="2" t="s">
        <v>56</v>
      </c>
      <c r="J689" s="2">
        <v>8</v>
      </c>
      <c r="K689" s="32">
        <f>VLOOKUP(E689,照明設備稼働時間!$A$4:$E$31,5,FALSE)</f>
        <v>2299</v>
      </c>
      <c r="L689" s="32" t="str">
        <f t="shared" si="20"/>
        <v>FHF32W2システム天井</v>
      </c>
      <c r="M689" s="14">
        <f>VLOOKUP(L689,照明器具一覧!$B$4:$F$129,5,FALSE)</f>
        <v>72</v>
      </c>
      <c r="N689" s="14">
        <v>1</v>
      </c>
      <c r="O689" s="142">
        <f t="shared" si="21"/>
        <v>1324.2239999999999</v>
      </c>
    </row>
    <row r="690" spans="1:15">
      <c r="A690" s="2" t="s">
        <v>1311</v>
      </c>
      <c r="B690" s="78" t="s">
        <v>1499</v>
      </c>
      <c r="C690" s="48" t="s">
        <v>532</v>
      </c>
      <c r="D690" s="2" t="s">
        <v>133</v>
      </c>
      <c r="E690" s="2" t="s">
        <v>1511</v>
      </c>
      <c r="F690" s="2" t="s">
        <v>166</v>
      </c>
      <c r="G690" s="2" t="s">
        <v>21</v>
      </c>
      <c r="H690" s="5">
        <v>6</v>
      </c>
      <c r="I690" s="2" t="s">
        <v>555</v>
      </c>
      <c r="J690" s="2">
        <v>11</v>
      </c>
      <c r="K690" s="32">
        <f>VLOOKUP(E690,照明設備稼働時間!$A$4:$E$31,5,FALSE)</f>
        <v>589</v>
      </c>
      <c r="L690" s="32" t="str">
        <f t="shared" si="20"/>
        <v>FHF32W6スクエア　埋込ｱｸﾘﾙｶﾊﾞｰ</v>
      </c>
      <c r="M690" s="14">
        <f>VLOOKUP(L690,照明器具一覧!$B$4:$F$129,5,FALSE)</f>
        <v>216</v>
      </c>
      <c r="N690" s="14">
        <v>1</v>
      </c>
      <c r="O690" s="142">
        <f t="shared" si="21"/>
        <v>1399.4639999999999</v>
      </c>
    </row>
    <row r="691" spans="1:15">
      <c r="A691" s="2" t="s">
        <v>1312</v>
      </c>
      <c r="B691" s="78" t="s">
        <v>1499</v>
      </c>
      <c r="C691" s="48" t="s">
        <v>532</v>
      </c>
      <c r="D691" s="2" t="s">
        <v>133</v>
      </c>
      <c r="E691" s="2" t="s">
        <v>1511</v>
      </c>
      <c r="F691" s="2" t="s">
        <v>167</v>
      </c>
      <c r="G691" s="2" t="s">
        <v>21</v>
      </c>
      <c r="H691" s="5">
        <v>6</v>
      </c>
      <c r="I691" s="2" t="s">
        <v>555</v>
      </c>
      <c r="J691" s="2">
        <v>8</v>
      </c>
      <c r="K691" s="32">
        <f>VLOOKUP(E691,照明設備稼働時間!$A$4:$E$31,5,FALSE)</f>
        <v>589</v>
      </c>
      <c r="L691" s="32" t="str">
        <f t="shared" si="20"/>
        <v>FHF32W6スクエア　埋込ｱｸﾘﾙｶﾊﾞｰ</v>
      </c>
      <c r="M691" s="14">
        <f>VLOOKUP(L691,照明器具一覧!$B$4:$F$129,5,FALSE)</f>
        <v>216</v>
      </c>
      <c r="N691" s="14">
        <v>1</v>
      </c>
      <c r="O691" s="142">
        <f t="shared" si="21"/>
        <v>1017.792</v>
      </c>
    </row>
    <row r="692" spans="1:15">
      <c r="A692" s="2" t="s">
        <v>1313</v>
      </c>
      <c r="B692" s="78" t="s">
        <v>1499</v>
      </c>
      <c r="C692" s="48" t="s">
        <v>532</v>
      </c>
      <c r="D692" s="2" t="s">
        <v>133</v>
      </c>
      <c r="E692" s="2" t="s">
        <v>1511</v>
      </c>
      <c r="F692" s="2" t="s">
        <v>168</v>
      </c>
      <c r="G692" s="2" t="s">
        <v>21</v>
      </c>
      <c r="H692" s="5">
        <v>6</v>
      </c>
      <c r="I692" s="2" t="s">
        <v>555</v>
      </c>
      <c r="J692" s="2">
        <v>8</v>
      </c>
      <c r="K692" s="32">
        <f>VLOOKUP(E692,照明設備稼働時間!$A$4:$E$31,5,FALSE)</f>
        <v>589</v>
      </c>
      <c r="L692" s="32" t="str">
        <f t="shared" si="20"/>
        <v>FHF32W6スクエア　埋込ｱｸﾘﾙｶﾊﾞｰ</v>
      </c>
      <c r="M692" s="14">
        <f>VLOOKUP(L692,照明器具一覧!$B$4:$F$129,5,FALSE)</f>
        <v>216</v>
      </c>
      <c r="N692" s="14">
        <v>1</v>
      </c>
      <c r="O692" s="142">
        <f t="shared" si="21"/>
        <v>1017.792</v>
      </c>
    </row>
    <row r="693" spans="1:15">
      <c r="A693" s="2" t="s">
        <v>1314</v>
      </c>
      <c r="B693" s="78" t="s">
        <v>1499</v>
      </c>
      <c r="C693" s="48" t="s">
        <v>532</v>
      </c>
      <c r="D693" s="2" t="s">
        <v>133</v>
      </c>
      <c r="E693" s="2" t="s">
        <v>1511</v>
      </c>
      <c r="F693" s="2" t="s">
        <v>169</v>
      </c>
      <c r="G693" s="2" t="s">
        <v>21</v>
      </c>
      <c r="H693" s="5">
        <v>6</v>
      </c>
      <c r="I693" s="2" t="s">
        <v>555</v>
      </c>
      <c r="J693" s="2">
        <v>8</v>
      </c>
      <c r="K693" s="32">
        <f>VLOOKUP(E693,照明設備稼働時間!$A$4:$E$31,5,FALSE)</f>
        <v>589</v>
      </c>
      <c r="L693" s="32" t="str">
        <f t="shared" si="20"/>
        <v>FHF32W6スクエア　埋込ｱｸﾘﾙｶﾊﾞｰ</v>
      </c>
      <c r="M693" s="14">
        <f>VLOOKUP(L693,照明器具一覧!$B$4:$F$129,5,FALSE)</f>
        <v>216</v>
      </c>
      <c r="N693" s="14">
        <v>1</v>
      </c>
      <c r="O693" s="142">
        <f t="shared" si="21"/>
        <v>1017.792</v>
      </c>
    </row>
    <row r="694" spans="1:15">
      <c r="A694" s="2" t="s">
        <v>1315</v>
      </c>
      <c r="B694" s="78" t="s">
        <v>1499</v>
      </c>
      <c r="C694" s="48" t="s">
        <v>20</v>
      </c>
      <c r="D694" s="2" t="s">
        <v>133</v>
      </c>
      <c r="E694" s="2" t="s">
        <v>603</v>
      </c>
      <c r="F694" s="2" t="s">
        <v>58</v>
      </c>
      <c r="G694" s="2" t="s">
        <v>21</v>
      </c>
      <c r="H694" s="5">
        <v>1</v>
      </c>
      <c r="I694" s="2" t="s">
        <v>91</v>
      </c>
      <c r="J694" s="2">
        <v>1</v>
      </c>
      <c r="K694" s="32">
        <f>VLOOKUP(E694,照明設備稼働時間!$A$4:$E$31,5,FALSE)</f>
        <v>968</v>
      </c>
      <c r="L694" s="32" t="str">
        <f t="shared" si="20"/>
        <v>FHF32W1逆富士</v>
      </c>
      <c r="M694" s="14">
        <f>VLOOKUP(L694,照明器具一覧!$B$4:$F$129,5,FALSE)</f>
        <v>36</v>
      </c>
      <c r="N694" s="14">
        <v>1</v>
      </c>
      <c r="O694" s="142">
        <f t="shared" si="21"/>
        <v>34.847999999999999</v>
      </c>
    </row>
    <row r="695" spans="1:15">
      <c r="A695" s="2" t="s">
        <v>1316</v>
      </c>
      <c r="B695" s="78" t="s">
        <v>1499</v>
      </c>
      <c r="C695" s="29"/>
      <c r="D695" s="2" t="s">
        <v>133</v>
      </c>
      <c r="E695" s="2" t="s">
        <v>603</v>
      </c>
      <c r="F695" s="2" t="s">
        <v>58</v>
      </c>
      <c r="G695" s="2" t="s">
        <v>31</v>
      </c>
      <c r="H695" s="5">
        <v>1</v>
      </c>
      <c r="I695" s="2" t="s">
        <v>316</v>
      </c>
      <c r="J695" s="2">
        <v>3</v>
      </c>
      <c r="K695" s="32">
        <f>VLOOKUP(E695,照明設備稼働時間!$A$4:$E$31,5,FALSE)</f>
        <v>968</v>
      </c>
      <c r="L695" s="32" t="str">
        <f t="shared" si="20"/>
        <v>LED電球1レセップ</v>
      </c>
      <c r="M695" s="14">
        <f>VLOOKUP(L695,照明器具一覧!$B$4:$F$129,5,FALSE)</f>
        <v>4.5999999999999996</v>
      </c>
      <c r="N695" s="14">
        <v>0.66</v>
      </c>
      <c r="O695" s="142">
        <f t="shared" si="21"/>
        <v>8.8165440000000004</v>
      </c>
    </row>
    <row r="696" spans="1:15">
      <c r="A696" s="2" t="s">
        <v>1317</v>
      </c>
      <c r="B696" s="78" t="s">
        <v>1499</v>
      </c>
      <c r="C696" s="29" t="s">
        <v>20</v>
      </c>
      <c r="D696" s="2" t="s">
        <v>133</v>
      </c>
      <c r="E696" s="2" t="s">
        <v>603</v>
      </c>
      <c r="F696" s="2" t="s">
        <v>59</v>
      </c>
      <c r="G696" s="2" t="s">
        <v>21</v>
      </c>
      <c r="H696" s="5">
        <v>1</v>
      </c>
      <c r="I696" s="2" t="s">
        <v>91</v>
      </c>
      <c r="J696" s="2">
        <v>1</v>
      </c>
      <c r="K696" s="32">
        <f>VLOOKUP(E696,照明設備稼働時間!$A$4:$E$31,5,FALSE)</f>
        <v>968</v>
      </c>
      <c r="L696" s="32" t="str">
        <f t="shared" si="20"/>
        <v>FHF32W1逆富士</v>
      </c>
      <c r="M696" s="14">
        <f>VLOOKUP(L696,照明器具一覧!$B$4:$F$129,5,FALSE)</f>
        <v>36</v>
      </c>
      <c r="N696" s="14">
        <v>1</v>
      </c>
      <c r="O696" s="142">
        <f t="shared" si="21"/>
        <v>34.847999999999999</v>
      </c>
    </row>
    <row r="697" spans="1:15">
      <c r="A697" s="2" t="s">
        <v>1318</v>
      </c>
      <c r="B697" s="78" t="s">
        <v>1499</v>
      </c>
      <c r="C697" s="29"/>
      <c r="D697" s="2" t="s">
        <v>133</v>
      </c>
      <c r="E697" s="2" t="s">
        <v>603</v>
      </c>
      <c r="F697" s="2" t="s">
        <v>59</v>
      </c>
      <c r="G697" s="2" t="s">
        <v>31</v>
      </c>
      <c r="H697" s="5">
        <v>1</v>
      </c>
      <c r="I697" s="2" t="s">
        <v>316</v>
      </c>
      <c r="J697" s="2">
        <v>2</v>
      </c>
      <c r="K697" s="32">
        <f>VLOOKUP(E697,照明設備稼働時間!$A$4:$E$31,5,FALSE)</f>
        <v>968</v>
      </c>
      <c r="L697" s="32" t="str">
        <f t="shared" si="20"/>
        <v>LED電球1レセップ</v>
      </c>
      <c r="M697" s="14">
        <f>VLOOKUP(L697,照明器具一覧!$B$4:$F$129,5,FALSE)</f>
        <v>4.5999999999999996</v>
      </c>
      <c r="N697" s="14">
        <v>0.5</v>
      </c>
      <c r="O697" s="142">
        <f t="shared" si="21"/>
        <v>4.452799999999999</v>
      </c>
    </row>
    <row r="698" spans="1:15">
      <c r="A698" s="2" t="s">
        <v>1319</v>
      </c>
      <c r="B698" s="78" t="s">
        <v>1499</v>
      </c>
      <c r="C698" s="29" t="s">
        <v>28</v>
      </c>
      <c r="D698" s="2" t="s">
        <v>133</v>
      </c>
      <c r="E698" s="2" t="s">
        <v>601</v>
      </c>
      <c r="F698" s="2" t="s">
        <v>45</v>
      </c>
      <c r="G698" s="2" t="s">
        <v>21</v>
      </c>
      <c r="H698" s="5">
        <v>1</v>
      </c>
      <c r="I698" s="2" t="s">
        <v>511</v>
      </c>
      <c r="J698" s="2">
        <v>3</v>
      </c>
      <c r="K698" s="32">
        <f>VLOOKUP(E698,照明設備稼働時間!$A$4:$E$31,5,FALSE)</f>
        <v>2299</v>
      </c>
      <c r="L698" s="32" t="str">
        <f t="shared" si="20"/>
        <v>FHF32W1埋込W190</v>
      </c>
      <c r="M698" s="14">
        <f>VLOOKUP(L698,照明器具一覧!$B$4:$F$129,5,FALSE)</f>
        <v>36</v>
      </c>
      <c r="N698" s="14">
        <v>0.33</v>
      </c>
      <c r="O698" s="142">
        <f t="shared" si="21"/>
        <v>81.936360000000008</v>
      </c>
    </row>
    <row r="699" spans="1:15">
      <c r="A699" s="2" t="s">
        <v>1320</v>
      </c>
      <c r="B699" s="78" t="s">
        <v>1499</v>
      </c>
      <c r="C699" s="29" t="s">
        <v>79</v>
      </c>
      <c r="D699" s="2" t="s">
        <v>133</v>
      </c>
      <c r="E699" s="2" t="s">
        <v>601</v>
      </c>
      <c r="F699" s="2" t="s">
        <v>46</v>
      </c>
      <c r="G699" s="2" t="s">
        <v>21</v>
      </c>
      <c r="H699" s="5">
        <v>1</v>
      </c>
      <c r="I699" s="2" t="s">
        <v>554</v>
      </c>
      <c r="J699" s="2">
        <v>1</v>
      </c>
      <c r="K699" s="32">
        <f>VLOOKUP(E699,照明設備稼働時間!$A$4:$E$31,5,FALSE)</f>
        <v>2299</v>
      </c>
      <c r="L699" s="32" t="str">
        <f t="shared" si="20"/>
        <v>FHF32W1階段灯　非常灯付</v>
      </c>
      <c r="M699" s="14">
        <f>VLOOKUP(L699,照明器具一覧!$B$4:$F$129,5,FALSE)</f>
        <v>36</v>
      </c>
      <c r="N699" s="14">
        <v>1</v>
      </c>
      <c r="O699" s="142">
        <f t="shared" si="21"/>
        <v>82.763999999999996</v>
      </c>
    </row>
    <row r="700" spans="1:15">
      <c r="A700" s="2" t="s">
        <v>1321</v>
      </c>
      <c r="B700" s="78" t="s">
        <v>1499</v>
      </c>
      <c r="C700" s="29" t="s">
        <v>80</v>
      </c>
      <c r="D700" s="2" t="s">
        <v>133</v>
      </c>
      <c r="E700" s="2" t="s">
        <v>601</v>
      </c>
      <c r="F700" s="2" t="s">
        <v>46</v>
      </c>
      <c r="G700" s="2" t="s">
        <v>21</v>
      </c>
      <c r="H700" s="5">
        <v>1</v>
      </c>
      <c r="I700" s="2" t="s">
        <v>554</v>
      </c>
      <c r="J700" s="2">
        <v>1</v>
      </c>
      <c r="K700" s="32">
        <f>VLOOKUP(E700,照明設備稼働時間!$A$4:$E$31,5,FALSE)</f>
        <v>2299</v>
      </c>
      <c r="L700" s="32" t="str">
        <f t="shared" si="20"/>
        <v>FHF32W1階段灯　非常灯付</v>
      </c>
      <c r="M700" s="14">
        <f>VLOOKUP(L700,照明器具一覧!$B$4:$F$129,5,FALSE)</f>
        <v>36</v>
      </c>
      <c r="N700" s="14">
        <v>1</v>
      </c>
      <c r="O700" s="142">
        <f t="shared" si="21"/>
        <v>82.763999999999996</v>
      </c>
    </row>
    <row r="701" spans="1:15">
      <c r="A701" s="2" t="s">
        <v>1322</v>
      </c>
      <c r="B701" s="78" t="s">
        <v>1499</v>
      </c>
      <c r="C701" s="29" t="s">
        <v>82</v>
      </c>
      <c r="D701" s="2" t="s">
        <v>133</v>
      </c>
      <c r="E701" s="2" t="s">
        <v>606</v>
      </c>
      <c r="F701" s="2" t="s">
        <v>158</v>
      </c>
      <c r="G701" s="2" t="s">
        <v>21</v>
      </c>
      <c r="H701" s="5">
        <v>1</v>
      </c>
      <c r="I701" s="2" t="s">
        <v>88</v>
      </c>
      <c r="J701" s="2">
        <v>2</v>
      </c>
      <c r="K701" s="32">
        <f>VLOOKUP(E701,照明設備稼働時間!$A$4:$E$31,5,FALSE)</f>
        <v>242</v>
      </c>
      <c r="L701" s="32" t="str">
        <f t="shared" si="20"/>
        <v>FHF32W1笠付</v>
      </c>
      <c r="M701" s="14">
        <f>VLOOKUP(L701,照明器具一覧!$B$4:$F$129,5,FALSE)</f>
        <v>36</v>
      </c>
      <c r="N701" s="14">
        <v>1</v>
      </c>
      <c r="O701" s="142">
        <f t="shared" si="21"/>
        <v>17.423999999999999</v>
      </c>
    </row>
    <row r="702" spans="1:15">
      <c r="A702" s="2" t="s">
        <v>1323</v>
      </c>
      <c r="B702" s="78" t="s">
        <v>1499</v>
      </c>
      <c r="C702" s="29" t="s">
        <v>78</v>
      </c>
      <c r="D702" s="2" t="s">
        <v>133</v>
      </c>
      <c r="E702" s="2" t="s">
        <v>1507</v>
      </c>
      <c r="F702" s="2" t="s">
        <v>61</v>
      </c>
      <c r="G702" s="2" t="s">
        <v>19</v>
      </c>
      <c r="H702" s="5">
        <v>1</v>
      </c>
      <c r="I702" s="2" t="s">
        <v>506</v>
      </c>
      <c r="J702" s="2">
        <v>1</v>
      </c>
      <c r="K702" s="32">
        <f>VLOOKUP(E702,照明設備稼働時間!$A$4:$E$31,5,FALSE)</f>
        <v>0</v>
      </c>
      <c r="L702" s="32" t="str">
        <f t="shared" si="20"/>
        <v>FHF16W1片反射笠付(高出力)</v>
      </c>
      <c r="M702" s="14">
        <f>VLOOKUP(L702,照明器具一覧!$B$4:$F$129,5,FALSE)</f>
        <v>26</v>
      </c>
      <c r="N702" s="14">
        <v>1</v>
      </c>
      <c r="O702" s="142">
        <f t="shared" si="21"/>
        <v>0</v>
      </c>
    </row>
    <row r="703" spans="1:15">
      <c r="A703" s="2" t="s">
        <v>1324</v>
      </c>
      <c r="B703" s="78" t="s">
        <v>1499</v>
      </c>
      <c r="C703" s="29" t="s">
        <v>533</v>
      </c>
      <c r="D703" s="2" t="s">
        <v>133</v>
      </c>
      <c r="E703" s="2" t="s">
        <v>1511</v>
      </c>
      <c r="F703" s="2" t="s">
        <v>147</v>
      </c>
      <c r="G703" s="2" t="s">
        <v>21</v>
      </c>
      <c r="H703" s="5">
        <v>2</v>
      </c>
      <c r="I703" s="2" t="s">
        <v>556</v>
      </c>
      <c r="J703" s="2">
        <v>12</v>
      </c>
      <c r="K703" s="32">
        <f>VLOOKUP(E703,照明設備稼働時間!$A$4:$E$31,5,FALSE)</f>
        <v>589</v>
      </c>
      <c r="L703" s="32" t="str">
        <f t="shared" si="20"/>
        <v>FHF32W2埋込</v>
      </c>
      <c r="M703" s="14">
        <f>VLOOKUP(L703,照明器具一覧!$B$4:$F$129,5,FALSE)</f>
        <v>72</v>
      </c>
      <c r="N703" s="14">
        <v>1</v>
      </c>
      <c r="O703" s="142">
        <f t="shared" si="21"/>
        <v>508.89600000000002</v>
      </c>
    </row>
    <row r="704" spans="1:15">
      <c r="A704" s="2" t="s">
        <v>1325</v>
      </c>
      <c r="B704" s="78" t="s">
        <v>1499</v>
      </c>
      <c r="C704" s="29" t="s">
        <v>532</v>
      </c>
      <c r="D704" s="2" t="s">
        <v>133</v>
      </c>
      <c r="E704" s="2" t="s">
        <v>601</v>
      </c>
      <c r="F704" s="2" t="s">
        <v>148</v>
      </c>
      <c r="G704" s="2" t="s">
        <v>21</v>
      </c>
      <c r="H704" s="5">
        <v>6</v>
      </c>
      <c r="I704" s="2" t="s">
        <v>555</v>
      </c>
      <c r="J704" s="2">
        <v>6</v>
      </c>
      <c r="K704" s="32">
        <f>VLOOKUP(E704,照明設備稼働時間!$A$4:$E$31,5,FALSE)</f>
        <v>2299</v>
      </c>
      <c r="L704" s="32" t="str">
        <f t="shared" si="20"/>
        <v>FHF32W6スクエア　埋込ｱｸﾘﾙｶﾊﾞｰ</v>
      </c>
      <c r="M704" s="14">
        <f>VLOOKUP(L704,照明器具一覧!$B$4:$F$129,5,FALSE)</f>
        <v>216</v>
      </c>
      <c r="N704" s="14">
        <v>1</v>
      </c>
      <c r="O704" s="142">
        <f t="shared" si="21"/>
        <v>2979.5039999999999</v>
      </c>
    </row>
    <row r="705" spans="1:15">
      <c r="A705" s="2" t="s">
        <v>1326</v>
      </c>
      <c r="B705" s="78" t="s">
        <v>1499</v>
      </c>
      <c r="C705" s="29" t="s">
        <v>84</v>
      </c>
      <c r="D705" s="2" t="s">
        <v>133</v>
      </c>
      <c r="E705" s="2" t="s">
        <v>601</v>
      </c>
      <c r="F705" s="2" t="s">
        <v>148</v>
      </c>
      <c r="G705" s="2" t="s">
        <v>21</v>
      </c>
      <c r="H705" s="5">
        <v>1</v>
      </c>
      <c r="I705" s="2" t="s">
        <v>89</v>
      </c>
      <c r="J705" s="2">
        <v>1</v>
      </c>
      <c r="K705" s="32">
        <f>VLOOKUP(E705,照明設備稼働時間!$A$4:$E$31,5,FALSE)</f>
        <v>2299</v>
      </c>
      <c r="L705" s="32" t="str">
        <f t="shared" si="20"/>
        <v>FHF32W1トラフ</v>
      </c>
      <c r="M705" s="14">
        <f>VLOOKUP(L705,照明器具一覧!$B$4:$F$129,5,FALSE)</f>
        <v>36</v>
      </c>
      <c r="N705" s="14">
        <v>1</v>
      </c>
      <c r="O705" s="142">
        <f t="shared" si="21"/>
        <v>82.763999999999996</v>
      </c>
    </row>
    <row r="706" spans="1:15">
      <c r="A706" s="2" t="s">
        <v>1327</v>
      </c>
      <c r="B706" s="78" t="s">
        <v>1499</v>
      </c>
      <c r="C706" s="29" t="s">
        <v>534</v>
      </c>
      <c r="D706" s="2" t="s">
        <v>133</v>
      </c>
      <c r="E706" s="2" t="s">
        <v>606</v>
      </c>
      <c r="F706" s="2" t="s">
        <v>149</v>
      </c>
      <c r="G706" s="2" t="s">
        <v>21</v>
      </c>
      <c r="H706" s="5">
        <v>1</v>
      </c>
      <c r="I706" s="2" t="s">
        <v>88</v>
      </c>
      <c r="J706" s="2">
        <v>1</v>
      </c>
      <c r="K706" s="32">
        <f>VLOOKUP(E706,照明設備稼働時間!$A$4:$E$31,5,FALSE)</f>
        <v>242</v>
      </c>
      <c r="L706" s="32" t="str">
        <f t="shared" si="20"/>
        <v>FHF32W1笠付</v>
      </c>
      <c r="M706" s="14">
        <f>VLOOKUP(L706,照明器具一覧!$B$4:$F$129,5,FALSE)</f>
        <v>36</v>
      </c>
      <c r="N706" s="14">
        <v>1</v>
      </c>
      <c r="O706" s="142">
        <f t="shared" si="21"/>
        <v>8.7119999999999997</v>
      </c>
    </row>
    <row r="707" spans="1:15">
      <c r="A707" s="2" t="s">
        <v>1328</v>
      </c>
      <c r="B707" s="78" t="s">
        <v>1499</v>
      </c>
      <c r="C707" s="29" t="s">
        <v>515</v>
      </c>
      <c r="D707" s="2" t="s">
        <v>133</v>
      </c>
      <c r="E707" s="2" t="s">
        <v>612</v>
      </c>
      <c r="F707" s="2" t="s">
        <v>150</v>
      </c>
      <c r="G707" s="2" t="s">
        <v>21</v>
      </c>
      <c r="H707" s="5">
        <v>2</v>
      </c>
      <c r="I707" s="2" t="s">
        <v>88</v>
      </c>
      <c r="J707" s="2">
        <v>23</v>
      </c>
      <c r="K707" s="32">
        <f>VLOOKUP(E707,照明設備稼働時間!$A$4:$E$31,5,FALSE)</f>
        <v>484</v>
      </c>
      <c r="L707" s="32" t="str">
        <f t="shared" si="20"/>
        <v>FHF32W2笠付</v>
      </c>
      <c r="M707" s="14">
        <f>VLOOKUP(L707,照明器具一覧!$B$4:$F$129,5,FALSE)</f>
        <v>36</v>
      </c>
      <c r="N707" s="14">
        <v>1</v>
      </c>
      <c r="O707" s="142">
        <f t="shared" si="21"/>
        <v>400.75200000000001</v>
      </c>
    </row>
    <row r="708" spans="1:15">
      <c r="A708" s="2" t="s">
        <v>1329</v>
      </c>
      <c r="B708" s="78" t="s">
        <v>1499</v>
      </c>
      <c r="C708" s="29" t="s">
        <v>535</v>
      </c>
      <c r="D708" s="2" t="s">
        <v>133</v>
      </c>
      <c r="E708" s="2" t="s">
        <v>601</v>
      </c>
      <c r="F708" s="2" t="s">
        <v>151</v>
      </c>
      <c r="G708" s="2" t="s">
        <v>21</v>
      </c>
      <c r="H708" s="5">
        <v>1</v>
      </c>
      <c r="I708" s="2" t="s">
        <v>511</v>
      </c>
      <c r="J708" s="2">
        <v>8</v>
      </c>
      <c r="K708" s="32">
        <f>VLOOKUP(E708,照明設備稼働時間!$A$4:$E$31,5,FALSE)</f>
        <v>2299</v>
      </c>
      <c r="L708" s="32" t="str">
        <f t="shared" ref="L708:L771" si="22">G708&amp;H708&amp;I708</f>
        <v>FHF32W1埋込W190</v>
      </c>
      <c r="M708" s="14">
        <f>VLOOKUP(L708,照明器具一覧!$B$4:$F$129,5,FALSE)</f>
        <v>36</v>
      </c>
      <c r="N708" s="14">
        <v>1</v>
      </c>
      <c r="O708" s="142">
        <f t="shared" si="21"/>
        <v>662.11199999999997</v>
      </c>
    </row>
    <row r="709" spans="1:15">
      <c r="A709" s="2" t="s">
        <v>1330</v>
      </c>
      <c r="B709" s="78" t="s">
        <v>1499</v>
      </c>
      <c r="C709" s="29" t="s">
        <v>84</v>
      </c>
      <c r="D709" s="2" t="s">
        <v>133</v>
      </c>
      <c r="E709" s="2" t="s">
        <v>601</v>
      </c>
      <c r="F709" s="2" t="s">
        <v>151</v>
      </c>
      <c r="G709" s="2" t="s">
        <v>21</v>
      </c>
      <c r="H709" s="5">
        <v>1</v>
      </c>
      <c r="I709" s="2" t="s">
        <v>89</v>
      </c>
      <c r="J709" s="2">
        <v>5</v>
      </c>
      <c r="K709" s="32">
        <f>VLOOKUP(E709,照明設備稼働時間!$A$4:$E$31,5,FALSE)</f>
        <v>2299</v>
      </c>
      <c r="L709" s="32" t="str">
        <f t="shared" si="22"/>
        <v>FHF32W1トラフ</v>
      </c>
      <c r="M709" s="14">
        <f>VLOOKUP(L709,照明器具一覧!$B$4:$F$129,5,FALSE)</f>
        <v>36</v>
      </c>
      <c r="N709" s="14">
        <v>1</v>
      </c>
      <c r="O709" s="142">
        <f t="shared" ref="O709:O772" si="23">(M709*J709*K709*N709)/1000</f>
        <v>413.82</v>
      </c>
    </row>
    <row r="710" spans="1:15">
      <c r="A710" s="2" t="s">
        <v>1331</v>
      </c>
      <c r="B710" s="78" t="s">
        <v>1499</v>
      </c>
      <c r="C710" s="29"/>
      <c r="D710" s="2" t="s">
        <v>557</v>
      </c>
      <c r="E710" s="2" t="s">
        <v>601</v>
      </c>
      <c r="F710" s="2" t="s">
        <v>151</v>
      </c>
      <c r="G710" s="2" t="s">
        <v>558</v>
      </c>
      <c r="H710" s="5">
        <v>1</v>
      </c>
      <c r="I710" s="2" t="s">
        <v>559</v>
      </c>
      <c r="J710" s="2">
        <v>2</v>
      </c>
      <c r="K710" s="32">
        <f>VLOOKUP(E710,照明設備稼働時間!$A$4:$E$31,5,FALSE)</f>
        <v>2299</v>
      </c>
      <c r="L710" s="32" t="str">
        <f t="shared" si="22"/>
        <v>FL10W1表示灯　「開会中」</v>
      </c>
      <c r="M710" s="14">
        <f>VLOOKUP(L710,照明器具一覧!$B$4:$F$129,5,FALSE)</f>
        <v>13</v>
      </c>
      <c r="N710" s="14">
        <v>1</v>
      </c>
      <c r="O710" s="142">
        <f t="shared" si="23"/>
        <v>59.774000000000001</v>
      </c>
    </row>
    <row r="711" spans="1:15">
      <c r="A711" s="2" t="s">
        <v>1332</v>
      </c>
      <c r="B711" s="78" t="s">
        <v>1499</v>
      </c>
      <c r="C711" s="29" t="s">
        <v>84</v>
      </c>
      <c r="D711" s="2" t="s">
        <v>133</v>
      </c>
      <c r="E711" s="2" t="s">
        <v>601</v>
      </c>
      <c r="F711" s="2" t="s">
        <v>152</v>
      </c>
      <c r="G711" s="2" t="s">
        <v>21</v>
      </c>
      <c r="H711" s="5">
        <v>1</v>
      </c>
      <c r="I711" s="2" t="s">
        <v>89</v>
      </c>
      <c r="J711" s="2">
        <v>4</v>
      </c>
      <c r="K711" s="32">
        <f>VLOOKUP(E711,照明設備稼働時間!$A$4:$E$31,5,FALSE)</f>
        <v>2299</v>
      </c>
      <c r="L711" s="32" t="str">
        <f t="shared" si="22"/>
        <v>FHF32W1トラフ</v>
      </c>
      <c r="M711" s="14">
        <f>VLOOKUP(L711,照明器具一覧!$B$4:$F$129,5,FALSE)</f>
        <v>36</v>
      </c>
      <c r="N711" s="14">
        <v>1</v>
      </c>
      <c r="O711" s="142">
        <f t="shared" si="23"/>
        <v>331.05599999999998</v>
      </c>
    </row>
    <row r="712" spans="1:15">
      <c r="A712" s="2" t="s">
        <v>1333</v>
      </c>
      <c r="B712" s="78" t="s">
        <v>1499</v>
      </c>
      <c r="C712" s="29" t="s">
        <v>83</v>
      </c>
      <c r="D712" s="2" t="s">
        <v>133</v>
      </c>
      <c r="E712" s="2" t="s">
        <v>601</v>
      </c>
      <c r="F712" s="2" t="s">
        <v>153</v>
      </c>
      <c r="G712" s="2" t="s">
        <v>21</v>
      </c>
      <c r="H712" s="5">
        <v>1</v>
      </c>
      <c r="I712" s="2" t="s">
        <v>89</v>
      </c>
      <c r="J712" s="2">
        <v>15</v>
      </c>
      <c r="K712" s="32">
        <f>VLOOKUP(E712,照明設備稼働時間!$A$4:$E$31,5,FALSE)</f>
        <v>2299</v>
      </c>
      <c r="L712" s="32" t="str">
        <f t="shared" si="22"/>
        <v>FHF32W1トラフ</v>
      </c>
      <c r="M712" s="14">
        <f>VLOOKUP(L712,照明器具一覧!$B$4:$F$129,5,FALSE)</f>
        <v>36</v>
      </c>
      <c r="N712" s="14">
        <v>1</v>
      </c>
      <c r="O712" s="142">
        <f t="shared" si="23"/>
        <v>1241.46</v>
      </c>
    </row>
    <row r="713" spans="1:15">
      <c r="A713" s="2" t="s">
        <v>1334</v>
      </c>
      <c r="B713" s="78" t="s">
        <v>1499</v>
      </c>
      <c r="C713" s="29" t="s">
        <v>533</v>
      </c>
      <c r="D713" s="2" t="s">
        <v>133</v>
      </c>
      <c r="E713" s="2" t="s">
        <v>160</v>
      </c>
      <c r="F713" s="2" t="s">
        <v>154</v>
      </c>
      <c r="G713" s="2" t="s">
        <v>21</v>
      </c>
      <c r="H713" s="5">
        <v>2</v>
      </c>
      <c r="I713" s="2" t="s">
        <v>556</v>
      </c>
      <c r="J713" s="2">
        <v>12</v>
      </c>
      <c r="K713" s="32">
        <f>VLOOKUP(E713,照明設備稼働時間!$A$4:$E$31,5,FALSE)</f>
        <v>276</v>
      </c>
      <c r="L713" s="32" t="str">
        <f t="shared" si="22"/>
        <v>FHF32W2埋込</v>
      </c>
      <c r="M713" s="14">
        <f>VLOOKUP(L713,照明器具一覧!$B$4:$F$129,5,FALSE)</f>
        <v>72</v>
      </c>
      <c r="N713" s="14">
        <v>1</v>
      </c>
      <c r="O713" s="142">
        <f t="shared" si="23"/>
        <v>238.464</v>
      </c>
    </row>
    <row r="714" spans="1:15">
      <c r="A714" s="2" t="s">
        <v>1335</v>
      </c>
      <c r="B714" s="78" t="s">
        <v>1499</v>
      </c>
      <c r="C714" s="29" t="s">
        <v>532</v>
      </c>
      <c r="D714" s="2" t="s">
        <v>133</v>
      </c>
      <c r="E714" s="2" t="s">
        <v>601</v>
      </c>
      <c r="F714" s="2" t="s">
        <v>148</v>
      </c>
      <c r="G714" s="2" t="s">
        <v>21</v>
      </c>
      <c r="H714" s="5">
        <v>6</v>
      </c>
      <c r="I714" s="2" t="s">
        <v>555</v>
      </c>
      <c r="J714" s="2">
        <v>6</v>
      </c>
      <c r="K714" s="32">
        <f>VLOOKUP(E714,照明設備稼働時間!$A$4:$E$31,5,FALSE)</f>
        <v>2299</v>
      </c>
      <c r="L714" s="32" t="str">
        <f t="shared" si="22"/>
        <v>FHF32W6スクエア　埋込ｱｸﾘﾙｶﾊﾞｰ</v>
      </c>
      <c r="M714" s="14">
        <f>VLOOKUP(L714,照明器具一覧!$B$4:$F$129,5,FALSE)</f>
        <v>216</v>
      </c>
      <c r="N714" s="14">
        <v>1</v>
      </c>
      <c r="O714" s="142">
        <f t="shared" si="23"/>
        <v>2979.5039999999999</v>
      </c>
    </row>
    <row r="715" spans="1:15">
      <c r="A715" s="2" t="s">
        <v>1336</v>
      </c>
      <c r="B715" s="78" t="s">
        <v>1499</v>
      </c>
      <c r="C715" s="29" t="s">
        <v>84</v>
      </c>
      <c r="D715" s="2" t="s">
        <v>133</v>
      </c>
      <c r="E715" s="2" t="s">
        <v>601</v>
      </c>
      <c r="F715" s="2" t="s">
        <v>148</v>
      </c>
      <c r="G715" s="2" t="s">
        <v>21</v>
      </c>
      <c r="H715" s="5">
        <v>1</v>
      </c>
      <c r="I715" s="2" t="s">
        <v>89</v>
      </c>
      <c r="J715" s="2">
        <v>1</v>
      </c>
      <c r="K715" s="32">
        <f>VLOOKUP(E715,照明設備稼働時間!$A$4:$E$31,5,FALSE)</f>
        <v>2299</v>
      </c>
      <c r="L715" s="32" t="str">
        <f t="shared" si="22"/>
        <v>FHF32W1トラフ</v>
      </c>
      <c r="M715" s="14">
        <f>VLOOKUP(L715,照明器具一覧!$B$4:$F$129,5,FALSE)</f>
        <v>36</v>
      </c>
      <c r="N715" s="14">
        <v>1</v>
      </c>
      <c r="O715" s="142">
        <f t="shared" si="23"/>
        <v>82.763999999999996</v>
      </c>
    </row>
    <row r="716" spans="1:15">
      <c r="A716" s="2" t="s">
        <v>1337</v>
      </c>
      <c r="B716" s="78" t="s">
        <v>1499</v>
      </c>
      <c r="C716" s="29" t="s">
        <v>82</v>
      </c>
      <c r="D716" s="2" t="s">
        <v>133</v>
      </c>
      <c r="E716" s="2" t="s">
        <v>606</v>
      </c>
      <c r="F716" s="2" t="s">
        <v>149</v>
      </c>
      <c r="G716" s="2" t="s">
        <v>21</v>
      </c>
      <c r="H716" s="5">
        <v>1</v>
      </c>
      <c r="I716" s="2" t="s">
        <v>88</v>
      </c>
      <c r="J716" s="2">
        <v>1</v>
      </c>
      <c r="K716" s="32">
        <f>VLOOKUP(E716,照明設備稼働時間!$A$4:$E$31,5,FALSE)</f>
        <v>242</v>
      </c>
      <c r="L716" s="32" t="str">
        <f t="shared" si="22"/>
        <v>FHF32W1笠付</v>
      </c>
      <c r="M716" s="14">
        <f>VLOOKUP(L716,照明器具一覧!$B$4:$F$129,5,FALSE)</f>
        <v>36</v>
      </c>
      <c r="N716" s="14">
        <v>1</v>
      </c>
      <c r="O716" s="142">
        <f t="shared" si="23"/>
        <v>8.7119999999999997</v>
      </c>
    </row>
    <row r="717" spans="1:15">
      <c r="A717" s="2" t="s">
        <v>1338</v>
      </c>
      <c r="B717" s="78" t="s">
        <v>1499</v>
      </c>
      <c r="C717" s="29" t="s">
        <v>82</v>
      </c>
      <c r="D717" s="2" t="s">
        <v>133</v>
      </c>
      <c r="E717" s="2" t="s">
        <v>606</v>
      </c>
      <c r="F717" s="2" t="s">
        <v>159</v>
      </c>
      <c r="G717" s="2" t="s">
        <v>21</v>
      </c>
      <c r="H717" s="5">
        <v>1</v>
      </c>
      <c r="I717" s="2" t="s">
        <v>88</v>
      </c>
      <c r="J717" s="2">
        <v>2</v>
      </c>
      <c r="K717" s="32">
        <f>VLOOKUP(E717,照明設備稼働時間!$A$4:$E$31,5,FALSE)</f>
        <v>242</v>
      </c>
      <c r="L717" s="32" t="str">
        <f t="shared" si="22"/>
        <v>FHF32W1笠付</v>
      </c>
      <c r="M717" s="14">
        <f>VLOOKUP(L717,照明器具一覧!$B$4:$F$129,5,FALSE)</f>
        <v>36</v>
      </c>
      <c r="N717" s="14">
        <v>1</v>
      </c>
      <c r="O717" s="142">
        <f t="shared" si="23"/>
        <v>17.423999999999999</v>
      </c>
    </row>
    <row r="718" spans="1:15">
      <c r="A718" s="2" t="s">
        <v>1339</v>
      </c>
      <c r="B718" s="78" t="s">
        <v>1499</v>
      </c>
      <c r="C718" s="29" t="s">
        <v>85</v>
      </c>
      <c r="D718" s="2" t="s">
        <v>133</v>
      </c>
      <c r="E718" s="2" t="s">
        <v>1507</v>
      </c>
      <c r="F718" s="2" t="s">
        <v>64</v>
      </c>
      <c r="G718" s="2" t="s">
        <v>21</v>
      </c>
      <c r="H718" s="5">
        <v>1</v>
      </c>
      <c r="I718" s="2" t="s">
        <v>524</v>
      </c>
      <c r="J718" s="2">
        <v>1</v>
      </c>
      <c r="K718" s="32">
        <f>VLOOKUP(E718,照明設備稼働時間!$A$4:$E$31,5,FALSE)</f>
        <v>0</v>
      </c>
      <c r="L718" s="32" t="str">
        <f t="shared" si="22"/>
        <v>FHF32W1片反射笠付</v>
      </c>
      <c r="M718" s="14">
        <f>VLOOKUP(L718,照明器具一覧!$B$4:$F$129,5,FALSE)</f>
        <v>36</v>
      </c>
      <c r="N718" s="14">
        <v>1</v>
      </c>
      <c r="O718" s="142">
        <f t="shared" si="23"/>
        <v>0</v>
      </c>
    </row>
    <row r="719" spans="1:15">
      <c r="A719" s="2" t="s">
        <v>1340</v>
      </c>
      <c r="B719" s="78" t="s">
        <v>1499</v>
      </c>
      <c r="C719" s="29" t="s">
        <v>86</v>
      </c>
      <c r="D719" s="2" t="s">
        <v>133</v>
      </c>
      <c r="E719" s="2" t="s">
        <v>601</v>
      </c>
      <c r="F719" s="2" t="s">
        <v>49</v>
      </c>
      <c r="G719" s="2" t="s">
        <v>19</v>
      </c>
      <c r="H719" s="5">
        <v>1</v>
      </c>
      <c r="I719" s="2" t="s">
        <v>93</v>
      </c>
      <c r="J719" s="2">
        <v>1</v>
      </c>
      <c r="K719" s="32">
        <f>VLOOKUP(E719,照明設備稼働時間!$A$4:$E$31,5,FALSE)</f>
        <v>2299</v>
      </c>
      <c r="L719" s="32" t="str">
        <f t="shared" si="22"/>
        <v>FHF16W1埋込　高出力</v>
      </c>
      <c r="M719" s="14">
        <f>VLOOKUP(L719,照明器具一覧!$B$4:$F$129,5,FALSE)</f>
        <v>26</v>
      </c>
      <c r="N719" s="14">
        <v>0.33</v>
      </c>
      <c r="O719" s="142">
        <f t="shared" si="23"/>
        <v>19.725420000000003</v>
      </c>
    </row>
    <row r="720" spans="1:15">
      <c r="A720" s="2" t="s">
        <v>1341</v>
      </c>
      <c r="B720" s="78" t="s">
        <v>1499</v>
      </c>
      <c r="C720" s="29" t="s">
        <v>28</v>
      </c>
      <c r="D720" s="2" t="s">
        <v>133</v>
      </c>
      <c r="E720" s="2" t="s">
        <v>1508</v>
      </c>
      <c r="F720" s="2" t="s">
        <v>65</v>
      </c>
      <c r="G720" s="2" t="s">
        <v>21</v>
      </c>
      <c r="H720" s="5">
        <v>1</v>
      </c>
      <c r="I720" s="2" t="s">
        <v>511</v>
      </c>
      <c r="J720" s="2">
        <v>2</v>
      </c>
      <c r="K720" s="32">
        <f>VLOOKUP(E720,照明設備稼働時間!$A$4:$E$31,5,FALSE)</f>
        <v>8760</v>
      </c>
      <c r="L720" s="32" t="str">
        <f t="shared" si="22"/>
        <v>FHF32W1埋込W190</v>
      </c>
      <c r="M720" s="14">
        <f>VLOOKUP(L720,照明器具一覧!$B$4:$F$129,5,FALSE)</f>
        <v>36</v>
      </c>
      <c r="N720" s="14">
        <v>1</v>
      </c>
      <c r="O720" s="142">
        <f t="shared" si="23"/>
        <v>630.72</v>
      </c>
    </row>
    <row r="721" spans="1:15">
      <c r="A721" s="2" t="s">
        <v>1342</v>
      </c>
      <c r="B721" s="78" t="s">
        <v>1499</v>
      </c>
      <c r="C721" s="29" t="s">
        <v>79</v>
      </c>
      <c r="D721" s="2" t="s">
        <v>133</v>
      </c>
      <c r="E721" s="2" t="s">
        <v>601</v>
      </c>
      <c r="F721" s="2" t="s">
        <v>50</v>
      </c>
      <c r="G721" s="2" t="s">
        <v>21</v>
      </c>
      <c r="H721" s="5">
        <v>1</v>
      </c>
      <c r="I721" s="2" t="s">
        <v>554</v>
      </c>
      <c r="J721" s="2">
        <v>1</v>
      </c>
      <c r="K721" s="32">
        <f>VLOOKUP(E721,照明設備稼働時間!$A$4:$E$31,5,FALSE)</f>
        <v>2299</v>
      </c>
      <c r="L721" s="32" t="str">
        <f t="shared" si="22"/>
        <v>FHF32W1階段灯　非常灯付</v>
      </c>
      <c r="M721" s="14">
        <f>VLOOKUP(L721,照明器具一覧!$B$4:$F$129,5,FALSE)</f>
        <v>36</v>
      </c>
      <c r="N721" s="14">
        <v>1</v>
      </c>
      <c r="O721" s="142">
        <f t="shared" si="23"/>
        <v>82.763999999999996</v>
      </c>
    </row>
    <row r="722" spans="1:15">
      <c r="A722" s="2" t="s">
        <v>1343</v>
      </c>
      <c r="B722" s="78" t="s">
        <v>1499</v>
      </c>
      <c r="C722" s="29" t="s">
        <v>80</v>
      </c>
      <c r="D722" s="2" t="s">
        <v>133</v>
      </c>
      <c r="E722" s="2" t="s">
        <v>601</v>
      </c>
      <c r="F722" s="2" t="s">
        <v>50</v>
      </c>
      <c r="G722" s="2" t="s">
        <v>21</v>
      </c>
      <c r="H722" s="5">
        <v>1</v>
      </c>
      <c r="I722" s="2" t="s">
        <v>554</v>
      </c>
      <c r="J722" s="2">
        <v>1</v>
      </c>
      <c r="K722" s="32">
        <f>VLOOKUP(E722,照明設備稼働時間!$A$4:$E$31,5,FALSE)</f>
        <v>2299</v>
      </c>
      <c r="L722" s="32" t="str">
        <f t="shared" si="22"/>
        <v>FHF32W1階段灯　非常灯付</v>
      </c>
      <c r="M722" s="14">
        <f>VLOOKUP(L722,照明器具一覧!$B$4:$F$129,5,FALSE)</f>
        <v>36</v>
      </c>
      <c r="N722" s="14">
        <v>1</v>
      </c>
      <c r="O722" s="142">
        <f t="shared" si="23"/>
        <v>82.763999999999996</v>
      </c>
    </row>
    <row r="723" spans="1:15">
      <c r="A723" s="2" t="s">
        <v>1344</v>
      </c>
      <c r="B723" s="78" t="s">
        <v>1499</v>
      </c>
      <c r="C723" s="29" t="s">
        <v>532</v>
      </c>
      <c r="D723" s="2" t="s">
        <v>133</v>
      </c>
      <c r="E723" s="2" t="s">
        <v>1511</v>
      </c>
      <c r="F723" s="2" t="s">
        <v>155</v>
      </c>
      <c r="G723" s="2" t="s">
        <v>21</v>
      </c>
      <c r="H723" s="5">
        <v>6</v>
      </c>
      <c r="I723" s="2" t="s">
        <v>555</v>
      </c>
      <c r="J723" s="2">
        <v>8</v>
      </c>
      <c r="K723" s="32">
        <f>VLOOKUP(E723,照明設備稼働時間!$A$4:$E$31,5,FALSE)</f>
        <v>589</v>
      </c>
      <c r="L723" s="32" t="str">
        <f t="shared" si="22"/>
        <v>FHF32W6スクエア　埋込ｱｸﾘﾙｶﾊﾞｰ</v>
      </c>
      <c r="M723" s="14">
        <f>VLOOKUP(L723,照明器具一覧!$B$4:$F$129,5,FALSE)</f>
        <v>216</v>
      </c>
      <c r="N723" s="14">
        <v>1</v>
      </c>
      <c r="O723" s="142">
        <f t="shared" si="23"/>
        <v>1017.792</v>
      </c>
    </row>
    <row r="724" spans="1:15">
      <c r="A724" s="2" t="s">
        <v>1345</v>
      </c>
      <c r="B724" s="78" t="s">
        <v>1499</v>
      </c>
      <c r="C724" s="29" t="s">
        <v>532</v>
      </c>
      <c r="D724" s="2" t="s">
        <v>133</v>
      </c>
      <c r="E724" s="2" t="s">
        <v>1511</v>
      </c>
      <c r="F724" s="2" t="s">
        <v>156</v>
      </c>
      <c r="G724" s="2" t="s">
        <v>21</v>
      </c>
      <c r="H724" s="5">
        <v>6</v>
      </c>
      <c r="I724" s="2" t="s">
        <v>555</v>
      </c>
      <c r="J724" s="2">
        <v>8</v>
      </c>
      <c r="K724" s="32">
        <f>VLOOKUP(E724,照明設備稼働時間!$A$4:$E$31,5,FALSE)</f>
        <v>589</v>
      </c>
      <c r="L724" s="32" t="str">
        <f t="shared" si="22"/>
        <v>FHF32W6スクエア　埋込ｱｸﾘﾙｶﾊﾞｰ</v>
      </c>
      <c r="M724" s="14">
        <f>VLOOKUP(L724,照明器具一覧!$B$4:$F$129,5,FALSE)</f>
        <v>216</v>
      </c>
      <c r="N724" s="14">
        <v>1</v>
      </c>
      <c r="O724" s="142">
        <f t="shared" si="23"/>
        <v>1017.792</v>
      </c>
    </row>
    <row r="725" spans="1:15">
      <c r="A725" s="2" t="s">
        <v>1346</v>
      </c>
      <c r="B725" s="78" t="s">
        <v>1499</v>
      </c>
      <c r="C725" s="29" t="s">
        <v>81</v>
      </c>
      <c r="D725" s="2" t="s">
        <v>133</v>
      </c>
      <c r="E725" s="2" t="s">
        <v>1511</v>
      </c>
      <c r="F725" s="2" t="s">
        <v>157</v>
      </c>
      <c r="G725" s="2" t="s">
        <v>21</v>
      </c>
      <c r="H725" s="5">
        <v>2</v>
      </c>
      <c r="I725" s="2" t="s">
        <v>56</v>
      </c>
      <c r="J725" s="2">
        <v>54</v>
      </c>
      <c r="K725" s="32">
        <f>VLOOKUP(E725,照明設備稼働時間!$A$4:$E$31,5,FALSE)</f>
        <v>589</v>
      </c>
      <c r="L725" s="32" t="str">
        <f t="shared" si="22"/>
        <v>FHF32W2システム天井</v>
      </c>
      <c r="M725" s="14">
        <f>VLOOKUP(L725,照明器具一覧!$B$4:$F$129,5,FALSE)</f>
        <v>72</v>
      </c>
      <c r="N725" s="14">
        <v>1</v>
      </c>
      <c r="O725" s="142">
        <f t="shared" si="23"/>
        <v>2290.0320000000002</v>
      </c>
    </row>
    <row r="726" spans="1:15">
      <c r="A726" s="2" t="s">
        <v>1347</v>
      </c>
      <c r="B726" s="78" t="s">
        <v>1499</v>
      </c>
      <c r="C726" s="29"/>
      <c r="D726" s="2" t="s">
        <v>133</v>
      </c>
      <c r="E726" s="2" t="s">
        <v>1511</v>
      </c>
      <c r="F726" s="2" t="s">
        <v>157</v>
      </c>
      <c r="G726" s="2" t="s">
        <v>164</v>
      </c>
      <c r="H726" s="5">
        <v>1</v>
      </c>
      <c r="I726" s="2" t="s">
        <v>12</v>
      </c>
      <c r="J726" s="2">
        <v>6</v>
      </c>
      <c r="K726" s="32">
        <f>VLOOKUP(E726,照明設備稼働時間!$A$4:$E$31,5,FALSE)</f>
        <v>589</v>
      </c>
      <c r="L726" s="32" t="str">
        <f t="shared" si="22"/>
        <v>FL20W1ブラケット</v>
      </c>
      <c r="M726" s="14">
        <f>VLOOKUP(L726,照明器具一覧!$B$4:$F$129,5,FALSE)</f>
        <v>23</v>
      </c>
      <c r="N726" s="14">
        <v>1</v>
      </c>
      <c r="O726" s="142">
        <f t="shared" si="23"/>
        <v>81.281999999999996</v>
      </c>
    </row>
    <row r="727" spans="1:15">
      <c r="A727" s="2" t="s">
        <v>1348</v>
      </c>
      <c r="B727" s="78" t="s">
        <v>1499</v>
      </c>
      <c r="C727" s="29"/>
      <c r="D727" s="2" t="s">
        <v>133</v>
      </c>
      <c r="E727" s="2" t="s">
        <v>1511</v>
      </c>
      <c r="F727" s="2" t="s">
        <v>170</v>
      </c>
      <c r="G727" s="2" t="s">
        <v>72</v>
      </c>
      <c r="H727" s="5">
        <v>1</v>
      </c>
      <c r="I727" s="2" t="s">
        <v>73</v>
      </c>
      <c r="J727" s="2">
        <v>30</v>
      </c>
      <c r="K727" s="32">
        <f>VLOOKUP(E727,照明設備稼働時間!$A$4:$E$31,5,FALSE)</f>
        <v>589</v>
      </c>
      <c r="L727" s="32" t="str">
        <f t="shared" si="22"/>
        <v>IL60W1ダウンライト</v>
      </c>
      <c r="M727" s="14">
        <f>VLOOKUP(L727,照明器具一覧!$B$4:$F$129,5,FALSE)</f>
        <v>60</v>
      </c>
      <c r="N727" s="14">
        <v>1</v>
      </c>
      <c r="O727" s="142">
        <f t="shared" si="23"/>
        <v>1060.2</v>
      </c>
    </row>
    <row r="728" spans="1:15">
      <c r="A728" s="2" t="s">
        <v>1349</v>
      </c>
      <c r="B728" s="78" t="s">
        <v>1499</v>
      </c>
      <c r="C728" s="29" t="s">
        <v>67</v>
      </c>
      <c r="D728" s="2" t="s">
        <v>133</v>
      </c>
      <c r="E728" s="2" t="s">
        <v>77</v>
      </c>
      <c r="F728" s="2" t="s">
        <v>57</v>
      </c>
      <c r="G728" s="2" t="s">
        <v>97</v>
      </c>
      <c r="H728" s="5">
        <v>1</v>
      </c>
      <c r="I728" s="2" t="s">
        <v>594</v>
      </c>
      <c r="J728" s="2">
        <v>1</v>
      </c>
      <c r="K728" s="32">
        <f>VLOOKUP(E728,照明設備稼働時間!$A$4:$E$31,5,FALSE)</f>
        <v>8760</v>
      </c>
      <c r="L728" s="32" t="str">
        <f t="shared" si="22"/>
        <v>CF2.2W1誘導灯C級片面</v>
      </c>
      <c r="M728" s="14">
        <f>VLOOKUP(L728,照明器具一覧!$B$4:$F$129,5,FALSE)</f>
        <v>4</v>
      </c>
      <c r="N728" s="14">
        <v>1</v>
      </c>
      <c r="O728" s="142">
        <f t="shared" si="23"/>
        <v>35.04</v>
      </c>
    </row>
    <row r="729" spans="1:15">
      <c r="A729" s="2" t="s">
        <v>1350</v>
      </c>
      <c r="B729" s="78" t="s">
        <v>1499</v>
      </c>
      <c r="C729" s="29" t="s">
        <v>69</v>
      </c>
      <c r="D729" s="2" t="s">
        <v>133</v>
      </c>
      <c r="E729" s="2" t="s">
        <v>77</v>
      </c>
      <c r="F729" s="2" t="s">
        <v>39</v>
      </c>
      <c r="G729" s="2" t="s">
        <v>97</v>
      </c>
      <c r="H729" s="5">
        <v>1</v>
      </c>
      <c r="I729" s="2" t="s">
        <v>594</v>
      </c>
      <c r="J729" s="2">
        <v>1</v>
      </c>
      <c r="K729" s="32">
        <f>VLOOKUP(E729,照明設備稼働時間!$A$4:$E$31,5,FALSE)</f>
        <v>8760</v>
      </c>
      <c r="L729" s="32" t="str">
        <f t="shared" si="22"/>
        <v>CF2.2W1誘導灯C級片面</v>
      </c>
      <c r="M729" s="14">
        <f>VLOOKUP(L729,照明器具一覧!$B$4:$F$129,5,FALSE)</f>
        <v>4</v>
      </c>
      <c r="N729" s="14">
        <v>1</v>
      </c>
      <c r="O729" s="142">
        <f t="shared" si="23"/>
        <v>35.04</v>
      </c>
    </row>
    <row r="730" spans="1:15">
      <c r="A730" s="2" t="s">
        <v>1351</v>
      </c>
      <c r="B730" s="78" t="s">
        <v>1499</v>
      </c>
      <c r="C730" s="29" t="s">
        <v>67</v>
      </c>
      <c r="D730" s="2" t="s">
        <v>133</v>
      </c>
      <c r="E730" s="2" t="s">
        <v>77</v>
      </c>
      <c r="F730" s="2" t="s">
        <v>45</v>
      </c>
      <c r="G730" s="2" t="s">
        <v>97</v>
      </c>
      <c r="H730" s="5">
        <v>1</v>
      </c>
      <c r="I730" s="2" t="s">
        <v>594</v>
      </c>
      <c r="J730" s="2">
        <v>1</v>
      </c>
      <c r="K730" s="32">
        <f>VLOOKUP(E730,照明設備稼働時間!$A$4:$E$31,5,FALSE)</f>
        <v>8760</v>
      </c>
      <c r="L730" s="32" t="str">
        <f t="shared" si="22"/>
        <v>CF2.2W1誘導灯C級片面</v>
      </c>
      <c r="M730" s="14">
        <f>VLOOKUP(L730,照明器具一覧!$B$4:$F$129,5,FALSE)</f>
        <v>4</v>
      </c>
      <c r="N730" s="14">
        <v>1</v>
      </c>
      <c r="O730" s="142">
        <f t="shared" si="23"/>
        <v>35.04</v>
      </c>
    </row>
    <row r="731" spans="1:15">
      <c r="A731" s="2" t="s">
        <v>1352</v>
      </c>
      <c r="B731" s="78" t="s">
        <v>1499</v>
      </c>
      <c r="C731" s="29" t="s">
        <v>68</v>
      </c>
      <c r="D731" s="2" t="s">
        <v>133</v>
      </c>
      <c r="E731" s="2" t="s">
        <v>77</v>
      </c>
      <c r="F731" s="2" t="s">
        <v>45</v>
      </c>
      <c r="G731" s="2" t="s">
        <v>98</v>
      </c>
      <c r="H731" s="5">
        <v>1</v>
      </c>
      <c r="I731" s="2" t="s">
        <v>594</v>
      </c>
      <c r="J731" s="2">
        <v>1</v>
      </c>
      <c r="K731" s="32">
        <f>VLOOKUP(E731,照明設備稼働時間!$A$4:$E$31,5,FALSE)</f>
        <v>8760</v>
      </c>
      <c r="L731" s="32" t="str">
        <f t="shared" si="22"/>
        <v>CF2W1誘導灯C級片面</v>
      </c>
      <c r="M731" s="14">
        <f>VLOOKUP(L731,照明器具一覧!$B$4:$F$129,5,FALSE)</f>
        <v>4</v>
      </c>
      <c r="N731" s="14">
        <v>1</v>
      </c>
      <c r="O731" s="142">
        <f t="shared" si="23"/>
        <v>35.04</v>
      </c>
    </row>
    <row r="732" spans="1:15">
      <c r="A732" s="2" t="s">
        <v>1353</v>
      </c>
      <c r="B732" s="78" t="s">
        <v>1499</v>
      </c>
      <c r="C732" s="29" t="s">
        <v>67</v>
      </c>
      <c r="D732" s="2" t="s">
        <v>133</v>
      </c>
      <c r="E732" s="2" t="s">
        <v>77</v>
      </c>
      <c r="F732" s="2" t="s">
        <v>65</v>
      </c>
      <c r="G732" s="2" t="s">
        <v>97</v>
      </c>
      <c r="H732" s="5">
        <v>1</v>
      </c>
      <c r="I732" s="2" t="s">
        <v>594</v>
      </c>
      <c r="J732" s="2">
        <v>1</v>
      </c>
      <c r="K732" s="32">
        <f>VLOOKUP(E732,照明設備稼働時間!$A$4:$E$31,5,FALSE)</f>
        <v>8760</v>
      </c>
      <c r="L732" s="32" t="str">
        <f t="shared" si="22"/>
        <v>CF2.2W1誘導灯C級片面</v>
      </c>
      <c r="M732" s="14">
        <f>VLOOKUP(L732,照明器具一覧!$B$4:$F$129,5,FALSE)</f>
        <v>4</v>
      </c>
      <c r="N732" s="14">
        <v>1</v>
      </c>
      <c r="O732" s="142">
        <f t="shared" si="23"/>
        <v>35.04</v>
      </c>
    </row>
    <row r="733" spans="1:15">
      <c r="A733" s="2" t="s">
        <v>1354</v>
      </c>
      <c r="B733" s="78" t="s">
        <v>1499</v>
      </c>
      <c r="C733" s="29" t="s">
        <v>69</v>
      </c>
      <c r="D733" s="2" t="s">
        <v>133</v>
      </c>
      <c r="E733" s="2" t="s">
        <v>77</v>
      </c>
      <c r="F733" s="2" t="s">
        <v>49</v>
      </c>
      <c r="G733" s="2" t="s">
        <v>97</v>
      </c>
      <c r="H733" s="5">
        <v>1</v>
      </c>
      <c r="I733" s="2" t="s">
        <v>594</v>
      </c>
      <c r="J733" s="2">
        <v>1</v>
      </c>
      <c r="K733" s="32">
        <f>VLOOKUP(E733,照明設備稼働時間!$A$4:$E$31,5,FALSE)</f>
        <v>8760</v>
      </c>
      <c r="L733" s="32" t="str">
        <f t="shared" si="22"/>
        <v>CF2.2W1誘導灯C級片面</v>
      </c>
      <c r="M733" s="14">
        <f>VLOOKUP(L733,照明器具一覧!$B$4:$F$129,5,FALSE)</f>
        <v>4</v>
      </c>
      <c r="N733" s="14">
        <v>1</v>
      </c>
      <c r="O733" s="142">
        <f t="shared" si="23"/>
        <v>35.04</v>
      </c>
    </row>
    <row r="734" spans="1:15">
      <c r="A734" s="2" t="s">
        <v>1355</v>
      </c>
      <c r="B734" s="78" t="s">
        <v>1499</v>
      </c>
      <c r="C734" s="29" t="s">
        <v>67</v>
      </c>
      <c r="D734" s="2" t="s">
        <v>133</v>
      </c>
      <c r="E734" s="2" t="s">
        <v>77</v>
      </c>
      <c r="F734" s="2" t="s">
        <v>23</v>
      </c>
      <c r="G734" s="2" t="s">
        <v>97</v>
      </c>
      <c r="H734" s="5">
        <v>1</v>
      </c>
      <c r="I734" s="2" t="s">
        <v>594</v>
      </c>
      <c r="J734" s="2">
        <v>1</v>
      </c>
      <c r="K734" s="32">
        <f>VLOOKUP(E734,照明設備稼働時間!$A$4:$E$31,5,FALSE)</f>
        <v>8760</v>
      </c>
      <c r="L734" s="32" t="str">
        <f t="shared" si="22"/>
        <v>CF2.2W1誘導灯C級片面</v>
      </c>
      <c r="M734" s="14">
        <f>VLOOKUP(L734,照明器具一覧!$B$4:$F$129,5,FALSE)</f>
        <v>4</v>
      </c>
      <c r="N734" s="14">
        <v>1</v>
      </c>
      <c r="O734" s="142">
        <f t="shared" si="23"/>
        <v>35.04</v>
      </c>
    </row>
    <row r="735" spans="1:15">
      <c r="A735" s="2" t="s">
        <v>1356</v>
      </c>
      <c r="B735" s="78" t="s">
        <v>1499</v>
      </c>
      <c r="C735" s="29" t="s">
        <v>68</v>
      </c>
      <c r="D735" s="2" t="s">
        <v>133</v>
      </c>
      <c r="E735" s="2" t="s">
        <v>77</v>
      </c>
      <c r="F735" s="2" t="s">
        <v>23</v>
      </c>
      <c r="G735" s="2" t="s">
        <v>98</v>
      </c>
      <c r="H735" s="5">
        <v>1</v>
      </c>
      <c r="I735" s="2" t="s">
        <v>594</v>
      </c>
      <c r="J735" s="2">
        <v>1</v>
      </c>
      <c r="K735" s="32">
        <f>VLOOKUP(E735,照明設備稼働時間!$A$4:$E$31,5,FALSE)</f>
        <v>8760</v>
      </c>
      <c r="L735" s="32" t="str">
        <f t="shared" si="22"/>
        <v>CF2W1誘導灯C級片面</v>
      </c>
      <c r="M735" s="14">
        <f>VLOOKUP(L735,照明器具一覧!$B$4:$F$129,5,FALSE)</f>
        <v>4</v>
      </c>
      <c r="N735" s="14">
        <v>1</v>
      </c>
      <c r="O735" s="142">
        <f t="shared" si="23"/>
        <v>35.04</v>
      </c>
    </row>
    <row r="736" spans="1:15">
      <c r="A736" s="2" t="s">
        <v>1357</v>
      </c>
      <c r="B736" s="78" t="s">
        <v>1499</v>
      </c>
      <c r="C736" s="29" t="s">
        <v>67</v>
      </c>
      <c r="D736" s="2" t="s">
        <v>133</v>
      </c>
      <c r="E736" s="2" t="s">
        <v>77</v>
      </c>
      <c r="F736" s="2" t="s">
        <v>151</v>
      </c>
      <c r="G736" s="2" t="s">
        <v>97</v>
      </c>
      <c r="H736" s="5">
        <v>1</v>
      </c>
      <c r="I736" s="2" t="s">
        <v>594</v>
      </c>
      <c r="J736" s="2">
        <v>2</v>
      </c>
      <c r="K736" s="32">
        <f>VLOOKUP(E736,照明設備稼働時間!$A$4:$E$31,5,FALSE)</f>
        <v>8760</v>
      </c>
      <c r="L736" s="32" t="str">
        <f t="shared" si="22"/>
        <v>CF2.2W1誘導灯C級片面</v>
      </c>
      <c r="M736" s="14">
        <f>VLOOKUP(L736,照明器具一覧!$B$4:$F$129,5,FALSE)</f>
        <v>4</v>
      </c>
      <c r="N736" s="14">
        <v>1</v>
      </c>
      <c r="O736" s="142">
        <f t="shared" si="23"/>
        <v>70.08</v>
      </c>
    </row>
    <row r="737" spans="1:15">
      <c r="A737" s="2" t="s">
        <v>1358</v>
      </c>
      <c r="B737" s="78" t="s">
        <v>1499</v>
      </c>
      <c r="C737" s="29" t="s">
        <v>68</v>
      </c>
      <c r="D737" s="2" t="s">
        <v>133</v>
      </c>
      <c r="E737" s="2" t="s">
        <v>77</v>
      </c>
      <c r="F737" s="2" t="s">
        <v>151</v>
      </c>
      <c r="G737" s="2" t="s">
        <v>98</v>
      </c>
      <c r="H737" s="5">
        <v>1</v>
      </c>
      <c r="I737" s="2" t="s">
        <v>594</v>
      </c>
      <c r="J737" s="2">
        <v>1</v>
      </c>
      <c r="K737" s="32">
        <f>VLOOKUP(E737,照明設備稼働時間!$A$4:$E$31,5,FALSE)</f>
        <v>8760</v>
      </c>
      <c r="L737" s="32" t="str">
        <f t="shared" si="22"/>
        <v>CF2W1誘導灯C級片面</v>
      </c>
      <c r="M737" s="14">
        <f>VLOOKUP(L737,照明器具一覧!$B$4:$F$129,5,FALSE)</f>
        <v>4</v>
      </c>
      <c r="N737" s="14">
        <v>1</v>
      </c>
      <c r="O737" s="142">
        <f t="shared" si="23"/>
        <v>35.04</v>
      </c>
    </row>
    <row r="738" spans="1:15">
      <c r="A738" s="2" t="s">
        <v>1359</v>
      </c>
      <c r="B738" s="78" t="s">
        <v>1499</v>
      </c>
      <c r="C738" s="29" t="s">
        <v>67</v>
      </c>
      <c r="D738" s="2" t="s">
        <v>133</v>
      </c>
      <c r="E738" s="2" t="s">
        <v>77</v>
      </c>
      <c r="F738" s="2" t="s">
        <v>160</v>
      </c>
      <c r="G738" s="2" t="s">
        <v>97</v>
      </c>
      <c r="H738" s="5">
        <v>1</v>
      </c>
      <c r="I738" s="2" t="s">
        <v>594</v>
      </c>
      <c r="J738" s="2">
        <v>4</v>
      </c>
      <c r="K738" s="32">
        <f>VLOOKUP(E738,照明設備稼働時間!$A$4:$E$31,5,FALSE)</f>
        <v>8760</v>
      </c>
      <c r="L738" s="32" t="str">
        <f t="shared" si="22"/>
        <v>CF2.2W1誘導灯C級片面</v>
      </c>
      <c r="M738" s="14">
        <f>VLOOKUP(L738,照明器具一覧!$B$4:$F$129,5,FALSE)</f>
        <v>4</v>
      </c>
      <c r="N738" s="14">
        <v>1</v>
      </c>
      <c r="O738" s="142">
        <f t="shared" si="23"/>
        <v>140.16</v>
      </c>
    </row>
    <row r="739" spans="1:15">
      <c r="A739" s="2" t="s">
        <v>1360</v>
      </c>
      <c r="B739" s="78" t="s">
        <v>1499</v>
      </c>
      <c r="C739" s="29" t="s">
        <v>68</v>
      </c>
      <c r="D739" s="2" t="s">
        <v>133</v>
      </c>
      <c r="E739" s="2" t="s">
        <v>77</v>
      </c>
      <c r="F739" s="2" t="s">
        <v>161</v>
      </c>
      <c r="G739" s="2" t="s">
        <v>98</v>
      </c>
      <c r="H739" s="5">
        <v>1</v>
      </c>
      <c r="I739" s="2" t="s">
        <v>594</v>
      </c>
      <c r="J739" s="2">
        <v>1</v>
      </c>
      <c r="K739" s="32">
        <f>VLOOKUP(E739,照明設備稼働時間!$A$4:$E$31,5,FALSE)</f>
        <v>8760</v>
      </c>
      <c r="L739" s="32" t="str">
        <f t="shared" si="22"/>
        <v>CF2W1誘導灯C級片面</v>
      </c>
      <c r="M739" s="14">
        <f>VLOOKUP(L739,照明器具一覧!$B$4:$F$129,5,FALSE)</f>
        <v>4</v>
      </c>
      <c r="N739" s="14">
        <v>1</v>
      </c>
      <c r="O739" s="142">
        <f t="shared" si="23"/>
        <v>35.04</v>
      </c>
    </row>
    <row r="740" spans="1:15">
      <c r="A740" s="2" t="s">
        <v>1361</v>
      </c>
      <c r="B740" s="78" t="s">
        <v>1499</v>
      </c>
      <c r="C740" s="29" t="s">
        <v>162</v>
      </c>
      <c r="D740" s="2" t="s">
        <v>133</v>
      </c>
      <c r="E740" s="2" t="s">
        <v>77</v>
      </c>
      <c r="F740" s="2" t="s">
        <v>11</v>
      </c>
      <c r="G740" s="2" t="s">
        <v>97</v>
      </c>
      <c r="H740" s="5">
        <v>1</v>
      </c>
      <c r="I740" s="2" t="s">
        <v>595</v>
      </c>
      <c r="J740" s="2">
        <v>2</v>
      </c>
      <c r="K740" s="32">
        <f>VLOOKUP(E740,照明設備稼働時間!$A$4:$E$31,5,FALSE)</f>
        <v>8760</v>
      </c>
      <c r="L740" s="32" t="str">
        <f t="shared" si="22"/>
        <v>CF2.2W1誘導灯C級両面</v>
      </c>
      <c r="M740" s="14">
        <f>VLOOKUP(L740,照明器具一覧!$B$4:$F$129,5,FALSE)</f>
        <v>7</v>
      </c>
      <c r="N740" s="14">
        <v>1</v>
      </c>
      <c r="O740" s="142">
        <f t="shared" si="23"/>
        <v>122.64</v>
      </c>
    </row>
    <row r="741" spans="1:15">
      <c r="A741" s="2" t="s">
        <v>1362</v>
      </c>
      <c r="B741" s="78" t="s">
        <v>1499</v>
      </c>
      <c r="C741" s="29" t="s">
        <v>69</v>
      </c>
      <c r="D741" s="2" t="s">
        <v>133</v>
      </c>
      <c r="E741" s="2" t="s">
        <v>77</v>
      </c>
      <c r="F741" s="2" t="s">
        <v>11</v>
      </c>
      <c r="G741" s="2" t="s">
        <v>97</v>
      </c>
      <c r="H741" s="5">
        <v>1</v>
      </c>
      <c r="I741" s="2" t="s">
        <v>594</v>
      </c>
      <c r="J741" s="2">
        <v>2</v>
      </c>
      <c r="K741" s="32">
        <f>VLOOKUP(E741,照明設備稼働時間!$A$4:$E$31,5,FALSE)</f>
        <v>8760</v>
      </c>
      <c r="L741" s="32" t="str">
        <f t="shared" si="22"/>
        <v>CF2.2W1誘導灯C級片面</v>
      </c>
      <c r="M741" s="14">
        <f>VLOOKUP(L741,照明器具一覧!$B$4:$F$129,5,FALSE)</f>
        <v>4</v>
      </c>
      <c r="N741" s="14">
        <v>1</v>
      </c>
      <c r="O741" s="142">
        <f t="shared" si="23"/>
        <v>70.08</v>
      </c>
    </row>
    <row r="742" spans="1:15">
      <c r="A742" s="2" t="s">
        <v>1363</v>
      </c>
      <c r="B742" s="78" t="s">
        <v>1499</v>
      </c>
      <c r="C742" s="29" t="s">
        <v>68</v>
      </c>
      <c r="D742" s="2" t="s">
        <v>133</v>
      </c>
      <c r="E742" s="2" t="s">
        <v>77</v>
      </c>
      <c r="F742" s="2" t="s">
        <v>11</v>
      </c>
      <c r="G742" s="2" t="s">
        <v>98</v>
      </c>
      <c r="H742" s="5">
        <v>1</v>
      </c>
      <c r="I742" s="2" t="s">
        <v>594</v>
      </c>
      <c r="J742" s="2">
        <v>9</v>
      </c>
      <c r="K742" s="32">
        <f>VLOOKUP(E742,照明設備稼働時間!$A$4:$E$31,5,FALSE)</f>
        <v>8760</v>
      </c>
      <c r="L742" s="32" t="str">
        <f t="shared" si="22"/>
        <v>CF2W1誘導灯C級片面</v>
      </c>
      <c r="M742" s="14">
        <f>VLOOKUP(L742,照明器具一覧!$B$4:$F$129,5,FALSE)</f>
        <v>4</v>
      </c>
      <c r="N742" s="14">
        <v>1</v>
      </c>
      <c r="O742" s="142">
        <f t="shared" si="23"/>
        <v>315.36</v>
      </c>
    </row>
    <row r="743" spans="1:15">
      <c r="A743" s="2" t="s">
        <v>1364</v>
      </c>
      <c r="B743" s="78" t="s">
        <v>1499</v>
      </c>
      <c r="C743" s="29"/>
      <c r="D743" s="2" t="s">
        <v>133</v>
      </c>
      <c r="E743" s="2" t="s">
        <v>624</v>
      </c>
      <c r="F743" s="2" t="s">
        <v>71</v>
      </c>
      <c r="G743" s="2" t="s">
        <v>72</v>
      </c>
      <c r="H743" s="5">
        <v>1</v>
      </c>
      <c r="I743" s="29" t="s">
        <v>585</v>
      </c>
      <c r="J743" s="2">
        <v>98</v>
      </c>
      <c r="K743" s="32">
        <f>VLOOKUP(E743,照明設備稼働時間!$A$4:$E$31,5,FALSE)</f>
        <v>0</v>
      </c>
      <c r="L743" s="32" t="str">
        <f t="shared" si="22"/>
        <v>IL60W1非常照明　電源別置型</v>
      </c>
      <c r="M743" s="14">
        <f>VLOOKUP(L743,照明器具一覧!$B$4:$F$129,5,FALSE)</f>
        <v>60</v>
      </c>
      <c r="N743" s="14">
        <v>1</v>
      </c>
      <c r="O743" s="142">
        <f t="shared" si="23"/>
        <v>0</v>
      </c>
    </row>
    <row r="744" spans="1:15">
      <c r="A744" s="2" t="s">
        <v>1365</v>
      </c>
      <c r="B744" s="78" t="s">
        <v>1499</v>
      </c>
      <c r="C744" s="48" t="s">
        <v>282</v>
      </c>
      <c r="D744" s="14" t="s">
        <v>171</v>
      </c>
      <c r="E744" s="14" t="s">
        <v>44</v>
      </c>
      <c r="F744" s="14" t="s">
        <v>172</v>
      </c>
      <c r="G744" s="14" t="s">
        <v>21</v>
      </c>
      <c r="H744" s="5">
        <v>1</v>
      </c>
      <c r="I744" s="2" t="s">
        <v>91</v>
      </c>
      <c r="J744" s="2">
        <v>1</v>
      </c>
      <c r="K744" s="32">
        <f>VLOOKUP(E744,照明設備稼働時間!$A$4:$E$31,5,FALSE)</f>
        <v>242</v>
      </c>
      <c r="L744" s="32" t="str">
        <f t="shared" si="22"/>
        <v>FHF32W1逆富士</v>
      </c>
      <c r="M744" s="14">
        <f>VLOOKUP(L744,照明器具一覧!$B$4:$F$129,5,FALSE)</f>
        <v>36</v>
      </c>
      <c r="N744" s="14">
        <v>1</v>
      </c>
      <c r="O744" s="142">
        <f t="shared" si="23"/>
        <v>8.7119999999999997</v>
      </c>
    </row>
    <row r="745" spans="1:15">
      <c r="A745" s="2" t="s">
        <v>1366</v>
      </c>
      <c r="B745" s="78" t="s">
        <v>1499</v>
      </c>
      <c r="C745" s="48" t="s">
        <v>282</v>
      </c>
      <c r="D745" s="14" t="s">
        <v>171</v>
      </c>
      <c r="E745" s="29" t="s">
        <v>1513</v>
      </c>
      <c r="F745" s="14" t="s">
        <v>173</v>
      </c>
      <c r="G745" s="14" t="s">
        <v>21</v>
      </c>
      <c r="H745" s="5">
        <v>1</v>
      </c>
      <c r="I745" s="2" t="s">
        <v>91</v>
      </c>
      <c r="J745" s="2">
        <v>1</v>
      </c>
      <c r="K745" s="32">
        <f>VLOOKUP(E745,照明設備稼働時間!$A$4:$E$31,5,FALSE)</f>
        <v>484</v>
      </c>
      <c r="L745" s="32" t="str">
        <f t="shared" si="22"/>
        <v>FHF32W1逆富士</v>
      </c>
      <c r="M745" s="14">
        <f>VLOOKUP(L745,照明器具一覧!$B$4:$F$129,5,FALSE)</f>
        <v>36</v>
      </c>
      <c r="N745" s="14">
        <v>1</v>
      </c>
      <c r="O745" s="142">
        <f t="shared" si="23"/>
        <v>17.423999999999999</v>
      </c>
    </row>
    <row r="746" spans="1:15">
      <c r="A746" s="2" t="s">
        <v>1367</v>
      </c>
      <c r="B746" s="78" t="s">
        <v>1499</v>
      </c>
      <c r="C746" s="48" t="s">
        <v>283</v>
      </c>
      <c r="D746" s="14" t="s">
        <v>171</v>
      </c>
      <c r="E746" s="14" t="s">
        <v>601</v>
      </c>
      <c r="F746" s="14" t="s">
        <v>23</v>
      </c>
      <c r="G746" s="14" t="s">
        <v>21</v>
      </c>
      <c r="H746" s="5">
        <v>1</v>
      </c>
      <c r="I746" s="2" t="s">
        <v>511</v>
      </c>
      <c r="J746" s="2">
        <v>3</v>
      </c>
      <c r="K746" s="32">
        <f>VLOOKUP(E746,照明設備稼働時間!$A$4:$E$31,5,FALSE)</f>
        <v>2299</v>
      </c>
      <c r="L746" s="32" t="str">
        <f t="shared" si="22"/>
        <v>FHF32W1埋込W190</v>
      </c>
      <c r="M746" s="14">
        <f>VLOOKUP(L746,照明器具一覧!$B$4:$F$129,5,FALSE)</f>
        <v>36</v>
      </c>
      <c r="N746" s="14">
        <v>0.33</v>
      </c>
      <c r="O746" s="142">
        <f t="shared" si="23"/>
        <v>81.936360000000008</v>
      </c>
    </row>
    <row r="747" spans="1:15">
      <c r="A747" s="2" t="s">
        <v>1368</v>
      </c>
      <c r="B747" s="78" t="s">
        <v>1499</v>
      </c>
      <c r="C747" s="48" t="s">
        <v>284</v>
      </c>
      <c r="D747" s="14" t="s">
        <v>171</v>
      </c>
      <c r="E747" s="14" t="s">
        <v>1507</v>
      </c>
      <c r="F747" s="14" t="s">
        <v>174</v>
      </c>
      <c r="G747" s="14" t="s">
        <v>19</v>
      </c>
      <c r="H747" s="5">
        <v>1</v>
      </c>
      <c r="I747" s="2" t="s">
        <v>506</v>
      </c>
      <c r="J747" s="2">
        <v>1</v>
      </c>
      <c r="K747" s="32">
        <f>VLOOKUP(E747,照明設備稼働時間!$A$4:$E$31,5,FALSE)</f>
        <v>0</v>
      </c>
      <c r="L747" s="32" t="str">
        <f t="shared" si="22"/>
        <v>FHF16W1片反射笠付(高出力)</v>
      </c>
      <c r="M747" s="14">
        <f>VLOOKUP(L747,照明器具一覧!$B$4:$F$129,5,FALSE)</f>
        <v>26</v>
      </c>
      <c r="N747" s="14">
        <v>1</v>
      </c>
      <c r="O747" s="142">
        <f t="shared" si="23"/>
        <v>0</v>
      </c>
    </row>
    <row r="748" spans="1:15">
      <c r="A748" s="2" t="s">
        <v>1369</v>
      </c>
      <c r="B748" s="78" t="s">
        <v>1499</v>
      </c>
      <c r="C748" s="76" t="s">
        <v>285</v>
      </c>
      <c r="D748" s="14" t="s">
        <v>171</v>
      </c>
      <c r="E748" s="14" t="s">
        <v>601</v>
      </c>
      <c r="F748" s="14" t="s">
        <v>175</v>
      </c>
      <c r="G748" s="14" t="s">
        <v>21</v>
      </c>
      <c r="H748" s="5">
        <v>1</v>
      </c>
      <c r="I748" s="2" t="s">
        <v>554</v>
      </c>
      <c r="J748" s="2">
        <v>2</v>
      </c>
      <c r="K748" s="32">
        <f>VLOOKUP(E748,照明設備稼働時間!$A$4:$E$31,5,FALSE)</f>
        <v>2299</v>
      </c>
      <c r="L748" s="32" t="str">
        <f t="shared" si="22"/>
        <v>FHF32W1階段灯　非常灯付</v>
      </c>
      <c r="M748" s="14">
        <f>VLOOKUP(L748,照明器具一覧!$B$4:$F$129,5,FALSE)</f>
        <v>36</v>
      </c>
      <c r="N748" s="14">
        <v>1</v>
      </c>
      <c r="O748" s="142">
        <f t="shared" si="23"/>
        <v>165.52799999999999</v>
      </c>
    </row>
    <row r="749" spans="1:15">
      <c r="A749" s="2" t="s">
        <v>1370</v>
      </c>
      <c r="B749" s="78" t="s">
        <v>1499</v>
      </c>
      <c r="C749" s="48" t="s">
        <v>282</v>
      </c>
      <c r="D749" s="14" t="s">
        <v>171</v>
      </c>
      <c r="E749" s="14" t="s">
        <v>603</v>
      </c>
      <c r="F749" s="14" t="s">
        <v>176</v>
      </c>
      <c r="G749" s="14" t="s">
        <v>21</v>
      </c>
      <c r="H749" s="5">
        <v>1</v>
      </c>
      <c r="I749" s="2" t="s">
        <v>91</v>
      </c>
      <c r="J749" s="2">
        <v>1</v>
      </c>
      <c r="K749" s="32">
        <f>VLOOKUP(E749,照明設備稼働時間!$A$4:$E$31,5,FALSE)</f>
        <v>968</v>
      </c>
      <c r="L749" s="32" t="str">
        <f t="shared" si="22"/>
        <v>FHF32W1逆富士</v>
      </c>
      <c r="M749" s="14">
        <f>VLOOKUP(L749,照明器具一覧!$B$4:$F$129,5,FALSE)</f>
        <v>36</v>
      </c>
      <c r="N749" s="14">
        <v>1</v>
      </c>
      <c r="O749" s="142">
        <f t="shared" si="23"/>
        <v>34.847999999999999</v>
      </c>
    </row>
    <row r="750" spans="1:15">
      <c r="A750" s="2" t="s">
        <v>1371</v>
      </c>
      <c r="B750" s="78" t="s">
        <v>1499</v>
      </c>
      <c r="C750" s="48"/>
      <c r="D750" s="14" t="s">
        <v>171</v>
      </c>
      <c r="E750" s="14" t="s">
        <v>603</v>
      </c>
      <c r="F750" s="14" t="s">
        <v>176</v>
      </c>
      <c r="G750" s="14" t="s">
        <v>31</v>
      </c>
      <c r="H750" s="5">
        <v>1</v>
      </c>
      <c r="I750" s="2" t="s">
        <v>316</v>
      </c>
      <c r="J750" s="2">
        <v>3</v>
      </c>
      <c r="K750" s="32">
        <f>VLOOKUP(E750,照明設備稼働時間!$A$4:$E$31,5,FALSE)</f>
        <v>968</v>
      </c>
      <c r="L750" s="32" t="str">
        <f t="shared" si="22"/>
        <v>LED電球1レセップ</v>
      </c>
      <c r="M750" s="14">
        <f>VLOOKUP(L750,照明器具一覧!$B$4:$F$129,5,FALSE)</f>
        <v>4.5999999999999996</v>
      </c>
      <c r="N750" s="14">
        <v>0.66</v>
      </c>
      <c r="O750" s="142">
        <f t="shared" si="23"/>
        <v>8.8165440000000004</v>
      </c>
    </row>
    <row r="751" spans="1:15">
      <c r="A751" s="2" t="s">
        <v>1372</v>
      </c>
      <c r="B751" s="78" t="s">
        <v>1499</v>
      </c>
      <c r="C751" s="48" t="s">
        <v>282</v>
      </c>
      <c r="D751" s="14" t="s">
        <v>171</v>
      </c>
      <c r="E751" s="14" t="s">
        <v>603</v>
      </c>
      <c r="F751" s="14" t="s">
        <v>177</v>
      </c>
      <c r="G751" s="14" t="s">
        <v>21</v>
      </c>
      <c r="H751" s="5">
        <v>1</v>
      </c>
      <c r="I751" s="2" t="s">
        <v>91</v>
      </c>
      <c r="J751" s="2">
        <v>1</v>
      </c>
      <c r="K751" s="32">
        <f>VLOOKUP(E751,照明設備稼働時間!$A$4:$E$31,5,FALSE)</f>
        <v>968</v>
      </c>
      <c r="L751" s="32" t="str">
        <f t="shared" si="22"/>
        <v>FHF32W1逆富士</v>
      </c>
      <c r="M751" s="14">
        <f>VLOOKUP(L751,照明器具一覧!$B$4:$F$129,5,FALSE)</f>
        <v>36</v>
      </c>
      <c r="N751" s="14">
        <v>1</v>
      </c>
      <c r="O751" s="142">
        <f t="shared" si="23"/>
        <v>34.847999999999999</v>
      </c>
    </row>
    <row r="752" spans="1:15">
      <c r="A752" s="2" t="s">
        <v>1373</v>
      </c>
      <c r="B752" s="78" t="s">
        <v>1499</v>
      </c>
      <c r="C752" s="31"/>
      <c r="D752" s="14" t="s">
        <v>171</v>
      </c>
      <c r="E752" s="14" t="s">
        <v>603</v>
      </c>
      <c r="F752" s="14" t="s">
        <v>177</v>
      </c>
      <c r="G752" s="14" t="s">
        <v>31</v>
      </c>
      <c r="H752" s="5">
        <v>1</v>
      </c>
      <c r="I752" s="2" t="s">
        <v>316</v>
      </c>
      <c r="J752" s="2">
        <v>2</v>
      </c>
      <c r="K752" s="32">
        <f>VLOOKUP(E752,照明設備稼働時間!$A$4:$E$31,5,FALSE)</f>
        <v>968</v>
      </c>
      <c r="L752" s="32" t="str">
        <f t="shared" si="22"/>
        <v>LED電球1レセップ</v>
      </c>
      <c r="M752" s="14">
        <f>VLOOKUP(L752,照明器具一覧!$B$4:$F$129,5,FALSE)</f>
        <v>4.5999999999999996</v>
      </c>
      <c r="N752" s="14">
        <v>0.5</v>
      </c>
      <c r="O752" s="142">
        <f t="shared" si="23"/>
        <v>4.452799999999999</v>
      </c>
    </row>
    <row r="753" spans="1:15">
      <c r="A753" s="2" t="s">
        <v>1374</v>
      </c>
      <c r="B753" s="78" t="s">
        <v>1499</v>
      </c>
      <c r="C753" s="48" t="s">
        <v>560</v>
      </c>
      <c r="D753" s="14" t="s">
        <v>171</v>
      </c>
      <c r="E753" s="14" t="s">
        <v>600</v>
      </c>
      <c r="F753" s="14" t="s">
        <v>178</v>
      </c>
      <c r="G753" s="14" t="s">
        <v>21</v>
      </c>
      <c r="H753" s="5">
        <v>2</v>
      </c>
      <c r="I753" s="2" t="s">
        <v>556</v>
      </c>
      <c r="J753" s="2">
        <v>4</v>
      </c>
      <c r="K753" s="32">
        <f>VLOOKUP(E753,照明設備稼働時間!$A$4:$E$31,5,FALSE)</f>
        <v>2299</v>
      </c>
      <c r="L753" s="32" t="str">
        <f t="shared" si="22"/>
        <v>FHF32W2埋込</v>
      </c>
      <c r="M753" s="14">
        <f>VLOOKUP(L753,照明器具一覧!$B$4:$F$129,5,FALSE)</f>
        <v>72</v>
      </c>
      <c r="N753" s="14">
        <v>1</v>
      </c>
      <c r="O753" s="142">
        <f t="shared" si="23"/>
        <v>662.11199999999997</v>
      </c>
    </row>
    <row r="754" spans="1:15">
      <c r="A754" s="2" t="s">
        <v>1375</v>
      </c>
      <c r="B754" s="78" t="s">
        <v>1499</v>
      </c>
      <c r="C754" s="48" t="s">
        <v>560</v>
      </c>
      <c r="D754" s="14" t="s">
        <v>171</v>
      </c>
      <c r="E754" s="14" t="s">
        <v>600</v>
      </c>
      <c r="F754" s="14" t="s">
        <v>179</v>
      </c>
      <c r="G754" s="14" t="s">
        <v>21</v>
      </c>
      <c r="H754" s="5">
        <v>2</v>
      </c>
      <c r="I754" s="2" t="s">
        <v>569</v>
      </c>
      <c r="J754" s="2">
        <v>4</v>
      </c>
      <c r="K754" s="32">
        <f>VLOOKUP(E754,照明設備稼働時間!$A$4:$E$31,5,FALSE)</f>
        <v>2299</v>
      </c>
      <c r="L754" s="32" t="str">
        <f t="shared" si="22"/>
        <v>FHF32W2埋込</v>
      </c>
      <c r="M754" s="14">
        <f>VLOOKUP(L754,照明器具一覧!$B$4:$F$129,5,FALSE)</f>
        <v>72</v>
      </c>
      <c r="N754" s="14">
        <v>1</v>
      </c>
      <c r="O754" s="142">
        <f t="shared" si="23"/>
        <v>662.11199999999997</v>
      </c>
    </row>
    <row r="755" spans="1:15">
      <c r="A755" s="2" t="s">
        <v>1376</v>
      </c>
      <c r="B755" s="78" t="s">
        <v>1499</v>
      </c>
      <c r="C755" s="48" t="s">
        <v>83</v>
      </c>
      <c r="D755" s="14" t="s">
        <v>171</v>
      </c>
      <c r="E755" s="14" t="s">
        <v>601</v>
      </c>
      <c r="F755" s="29" t="s">
        <v>11</v>
      </c>
      <c r="G755" s="14" t="s">
        <v>21</v>
      </c>
      <c r="H755" s="5">
        <v>1</v>
      </c>
      <c r="I755" s="2" t="s">
        <v>89</v>
      </c>
      <c r="J755" s="14">
        <v>94</v>
      </c>
      <c r="K755" s="32">
        <f>VLOOKUP(E755,照明設備稼働時間!$A$4:$E$31,5,FALSE)</f>
        <v>2299</v>
      </c>
      <c r="L755" s="32" t="str">
        <f t="shared" si="22"/>
        <v>FHF32W1トラフ</v>
      </c>
      <c r="M755" s="14">
        <f>VLOOKUP(L755,照明器具一覧!$B$4:$F$129,5,FALSE)</f>
        <v>36</v>
      </c>
      <c r="N755" s="14">
        <v>0.33</v>
      </c>
      <c r="O755" s="142">
        <f t="shared" si="23"/>
        <v>2567.3392800000001</v>
      </c>
    </row>
    <row r="756" spans="1:15">
      <c r="A756" s="2" t="s">
        <v>1377</v>
      </c>
      <c r="B756" s="78" t="s">
        <v>1499</v>
      </c>
      <c r="C756" s="48" t="s">
        <v>84</v>
      </c>
      <c r="D756" s="14" t="s">
        <v>220</v>
      </c>
      <c r="E756" s="14" t="s">
        <v>601</v>
      </c>
      <c r="F756" s="14" t="s">
        <v>11</v>
      </c>
      <c r="G756" s="14" t="s">
        <v>21</v>
      </c>
      <c r="H756" s="5">
        <v>1</v>
      </c>
      <c r="I756" s="2" t="s">
        <v>89</v>
      </c>
      <c r="J756" s="2">
        <v>2</v>
      </c>
      <c r="K756" s="32">
        <f>VLOOKUP(E756,照明設備稼働時間!$A$4:$E$31,5,FALSE)</f>
        <v>2299</v>
      </c>
      <c r="L756" s="32" t="str">
        <f t="shared" si="22"/>
        <v>FHF32W1トラフ</v>
      </c>
      <c r="M756" s="14">
        <f>VLOOKUP(L756,照明器具一覧!$B$4:$F$129,5,FALSE)</f>
        <v>36</v>
      </c>
      <c r="N756" s="14">
        <v>0.33</v>
      </c>
      <c r="O756" s="142">
        <f t="shared" si="23"/>
        <v>54.624240000000007</v>
      </c>
    </row>
    <row r="757" spans="1:15">
      <c r="A757" s="2" t="s">
        <v>1378</v>
      </c>
      <c r="B757" s="78" t="s">
        <v>1499</v>
      </c>
      <c r="C757" s="48"/>
      <c r="D757" s="14" t="s">
        <v>220</v>
      </c>
      <c r="E757" s="14" t="s">
        <v>601</v>
      </c>
      <c r="F757" s="14" t="s">
        <v>11</v>
      </c>
      <c r="G757" s="14" t="s">
        <v>72</v>
      </c>
      <c r="H757" s="5">
        <v>1</v>
      </c>
      <c r="I757" s="2" t="s">
        <v>73</v>
      </c>
      <c r="J757" s="2">
        <v>4</v>
      </c>
      <c r="K757" s="32">
        <f>VLOOKUP(E757,照明設備稼働時間!$A$4:$E$31,5,FALSE)</f>
        <v>2299</v>
      </c>
      <c r="L757" s="32" t="str">
        <f t="shared" si="22"/>
        <v>IL60W1ダウンライト</v>
      </c>
      <c r="M757" s="14">
        <f>VLOOKUP(L757,照明器具一覧!$B$4:$F$129,5,FALSE)</f>
        <v>60</v>
      </c>
      <c r="N757" s="14">
        <v>1</v>
      </c>
      <c r="O757" s="142">
        <f t="shared" si="23"/>
        <v>551.76</v>
      </c>
    </row>
    <row r="758" spans="1:15">
      <c r="A758" s="2" t="s">
        <v>1379</v>
      </c>
      <c r="B758" s="78" t="s">
        <v>1499</v>
      </c>
      <c r="C758" s="48"/>
      <c r="D758" s="14" t="s">
        <v>220</v>
      </c>
      <c r="E758" s="14" t="s">
        <v>601</v>
      </c>
      <c r="F758" s="14" t="s">
        <v>11</v>
      </c>
      <c r="G758" s="14" t="s">
        <v>75</v>
      </c>
      <c r="H758" s="5">
        <v>1</v>
      </c>
      <c r="I758" s="2" t="s">
        <v>76</v>
      </c>
      <c r="J758" s="2">
        <v>5</v>
      </c>
      <c r="K758" s="32">
        <f>VLOOKUP(E758,照明設備稼働時間!$A$4:$E$31,5,FALSE)</f>
        <v>2299</v>
      </c>
      <c r="L758" s="32" t="str">
        <f t="shared" si="22"/>
        <v>LED1ユニバーサルダウンライト</v>
      </c>
      <c r="M758" s="14">
        <f>VLOOKUP(L758,照明器具一覧!$B$4:$F$129,5,FALSE)</f>
        <v>10</v>
      </c>
      <c r="N758" s="14">
        <v>0.33</v>
      </c>
      <c r="O758" s="142">
        <f t="shared" si="23"/>
        <v>37.933500000000002</v>
      </c>
    </row>
    <row r="759" spans="1:15">
      <c r="A759" s="2" t="s">
        <v>1380</v>
      </c>
      <c r="B759" s="78" t="s">
        <v>1499</v>
      </c>
      <c r="C759" s="48"/>
      <c r="D759" s="14" t="s">
        <v>220</v>
      </c>
      <c r="E759" s="14" t="s">
        <v>601</v>
      </c>
      <c r="F759" s="14" t="s">
        <v>578</v>
      </c>
      <c r="G759" s="14" t="s">
        <v>72</v>
      </c>
      <c r="H759" s="5">
        <v>1</v>
      </c>
      <c r="I759" s="2" t="s">
        <v>73</v>
      </c>
      <c r="J759" s="2">
        <v>46</v>
      </c>
      <c r="K759" s="32">
        <f>VLOOKUP(E759,照明設備稼働時間!$A$4:$E$31,5,FALSE)</f>
        <v>2299</v>
      </c>
      <c r="L759" s="32" t="str">
        <f t="shared" si="22"/>
        <v>IL60W1ダウンライト</v>
      </c>
      <c r="M759" s="14">
        <f>VLOOKUP(L759,照明器具一覧!$B$4:$F$129,5,FALSE)</f>
        <v>60</v>
      </c>
      <c r="N759" s="14">
        <v>1</v>
      </c>
      <c r="O759" s="142">
        <f t="shared" si="23"/>
        <v>6345.24</v>
      </c>
    </row>
    <row r="760" spans="1:15">
      <c r="A760" s="2" t="s">
        <v>1381</v>
      </c>
      <c r="B760" s="78" t="s">
        <v>1499</v>
      </c>
      <c r="C760" s="48" t="s">
        <v>289</v>
      </c>
      <c r="D760" s="14" t="s">
        <v>171</v>
      </c>
      <c r="E760" s="14" t="s">
        <v>265</v>
      </c>
      <c r="F760" s="29" t="s">
        <v>35</v>
      </c>
      <c r="G760" s="29" t="s">
        <v>21</v>
      </c>
      <c r="H760" s="5">
        <v>1</v>
      </c>
      <c r="I760" s="2" t="s">
        <v>89</v>
      </c>
      <c r="J760" s="2">
        <v>4</v>
      </c>
      <c r="K760" s="32">
        <f>VLOOKUP(E760,照明設備稼働時間!$A$4:$E$31,5,FALSE)</f>
        <v>2602</v>
      </c>
      <c r="L760" s="32" t="str">
        <f t="shared" si="22"/>
        <v>FHF32W1トラフ</v>
      </c>
      <c r="M760" s="14">
        <f>VLOOKUP(L760,照明器具一覧!$B$4:$F$129,5,FALSE)</f>
        <v>36</v>
      </c>
      <c r="N760" s="14">
        <v>1</v>
      </c>
      <c r="O760" s="142">
        <f t="shared" si="23"/>
        <v>374.68799999999999</v>
      </c>
    </row>
    <row r="761" spans="1:15">
      <c r="A761" s="2" t="s">
        <v>1382</v>
      </c>
      <c r="B761" s="78" t="s">
        <v>1499</v>
      </c>
      <c r="C761" s="29"/>
      <c r="D761" s="14" t="s">
        <v>171</v>
      </c>
      <c r="E761" s="14" t="s">
        <v>265</v>
      </c>
      <c r="F761" s="29" t="s">
        <v>35</v>
      </c>
      <c r="G761" s="29" t="s">
        <v>72</v>
      </c>
      <c r="H761" s="5">
        <v>1</v>
      </c>
      <c r="I761" s="2" t="s">
        <v>73</v>
      </c>
      <c r="J761" s="2">
        <v>4</v>
      </c>
      <c r="K761" s="32">
        <f>VLOOKUP(E761,照明設備稼働時間!$A$4:$E$31,5,FALSE)</f>
        <v>2602</v>
      </c>
      <c r="L761" s="32" t="str">
        <f t="shared" si="22"/>
        <v>IL60W1ダウンライト</v>
      </c>
      <c r="M761" s="14">
        <f>VLOOKUP(L761,照明器具一覧!$B$4:$F$129,5,FALSE)</f>
        <v>60</v>
      </c>
      <c r="N761" s="14">
        <v>1</v>
      </c>
      <c r="O761" s="142">
        <f t="shared" si="23"/>
        <v>624.48</v>
      </c>
    </row>
    <row r="762" spans="1:15">
      <c r="A762" s="2" t="s">
        <v>1383</v>
      </c>
      <c r="B762" s="78" t="s">
        <v>1499</v>
      </c>
      <c r="C762" s="48" t="s">
        <v>294</v>
      </c>
      <c r="D762" s="14" t="s">
        <v>171</v>
      </c>
      <c r="E762" s="14" t="s">
        <v>606</v>
      </c>
      <c r="F762" s="29" t="s">
        <v>180</v>
      </c>
      <c r="G762" s="29" t="s">
        <v>21</v>
      </c>
      <c r="H762" s="5">
        <v>1</v>
      </c>
      <c r="I762" s="2" t="s">
        <v>88</v>
      </c>
      <c r="J762" s="2">
        <v>1</v>
      </c>
      <c r="K762" s="32">
        <f>VLOOKUP(E762,照明設備稼働時間!$A$4:$E$31,5,FALSE)</f>
        <v>242</v>
      </c>
      <c r="L762" s="32" t="str">
        <f t="shared" si="22"/>
        <v>FHF32W1笠付</v>
      </c>
      <c r="M762" s="14">
        <f>VLOOKUP(L762,照明器具一覧!$B$4:$F$129,5,FALSE)</f>
        <v>36</v>
      </c>
      <c r="N762" s="14">
        <v>1</v>
      </c>
      <c r="O762" s="142">
        <f t="shared" si="23"/>
        <v>8.7119999999999997</v>
      </c>
    </row>
    <row r="763" spans="1:15">
      <c r="A763" s="2" t="s">
        <v>1384</v>
      </c>
      <c r="B763" s="78" t="s">
        <v>1499</v>
      </c>
      <c r="C763" s="48" t="s">
        <v>294</v>
      </c>
      <c r="D763" s="14" t="s">
        <v>171</v>
      </c>
      <c r="E763" s="14" t="s">
        <v>606</v>
      </c>
      <c r="F763" s="29" t="s">
        <v>181</v>
      </c>
      <c r="G763" s="29" t="s">
        <v>21</v>
      </c>
      <c r="H763" s="5">
        <v>1</v>
      </c>
      <c r="I763" s="2" t="s">
        <v>88</v>
      </c>
      <c r="J763" s="2">
        <v>1</v>
      </c>
      <c r="K763" s="32">
        <f>VLOOKUP(E763,照明設備稼働時間!$A$4:$E$31,5,FALSE)</f>
        <v>242</v>
      </c>
      <c r="L763" s="32" t="str">
        <f t="shared" si="22"/>
        <v>FHF32W1笠付</v>
      </c>
      <c r="M763" s="14">
        <f>VLOOKUP(L763,照明器具一覧!$B$4:$F$129,5,FALSE)</f>
        <v>36</v>
      </c>
      <c r="N763" s="14">
        <v>1</v>
      </c>
      <c r="O763" s="142">
        <f t="shared" si="23"/>
        <v>8.7119999999999997</v>
      </c>
    </row>
    <row r="764" spans="1:15">
      <c r="A764" s="2" t="s">
        <v>1385</v>
      </c>
      <c r="B764" s="78" t="s">
        <v>1499</v>
      </c>
      <c r="C764" s="48" t="s">
        <v>283</v>
      </c>
      <c r="D764" s="14" t="s">
        <v>171</v>
      </c>
      <c r="E764" s="14" t="s">
        <v>1508</v>
      </c>
      <c r="F764" s="29" t="s">
        <v>57</v>
      </c>
      <c r="G764" s="29" t="s">
        <v>21</v>
      </c>
      <c r="H764" s="5">
        <v>1</v>
      </c>
      <c r="I764" s="2" t="s">
        <v>511</v>
      </c>
      <c r="J764" s="2">
        <v>2</v>
      </c>
      <c r="K764" s="32">
        <f>VLOOKUP(E764,照明設備稼働時間!$A$4:$E$31,5,FALSE)</f>
        <v>8760</v>
      </c>
      <c r="L764" s="32" t="str">
        <f t="shared" si="22"/>
        <v>FHF32W1埋込W190</v>
      </c>
      <c r="M764" s="14">
        <f>VLOOKUP(L764,照明器具一覧!$B$4:$F$129,5,FALSE)</f>
        <v>36</v>
      </c>
      <c r="N764" s="14">
        <v>1</v>
      </c>
      <c r="O764" s="142">
        <f t="shared" si="23"/>
        <v>630.72</v>
      </c>
    </row>
    <row r="765" spans="1:15">
      <c r="A765" s="2" t="s">
        <v>1386</v>
      </c>
      <c r="B765" s="78" t="s">
        <v>1499</v>
      </c>
      <c r="C765" s="29"/>
      <c r="D765" s="14" t="s">
        <v>171</v>
      </c>
      <c r="E765" s="14" t="s">
        <v>1508</v>
      </c>
      <c r="F765" s="29" t="s">
        <v>57</v>
      </c>
      <c r="G765" s="29" t="s">
        <v>72</v>
      </c>
      <c r="H765" s="5">
        <v>1</v>
      </c>
      <c r="I765" s="2" t="s">
        <v>73</v>
      </c>
      <c r="J765" s="2">
        <v>1</v>
      </c>
      <c r="K765" s="32">
        <f>VLOOKUP(E765,照明設備稼働時間!$A$4:$E$31,5,FALSE)</f>
        <v>8760</v>
      </c>
      <c r="L765" s="32" t="str">
        <f t="shared" si="22"/>
        <v>IL60W1ダウンライト</v>
      </c>
      <c r="M765" s="14">
        <f>VLOOKUP(L765,照明器具一覧!$B$4:$F$129,5,FALSE)</f>
        <v>60</v>
      </c>
      <c r="N765" s="14">
        <v>1</v>
      </c>
      <c r="O765" s="142">
        <f t="shared" si="23"/>
        <v>525.6</v>
      </c>
    </row>
    <row r="766" spans="1:15">
      <c r="A766" s="2" t="s">
        <v>1387</v>
      </c>
      <c r="B766" s="78" t="s">
        <v>1499</v>
      </c>
      <c r="C766" s="48" t="s">
        <v>285</v>
      </c>
      <c r="D766" s="14" t="s">
        <v>171</v>
      </c>
      <c r="E766" s="14" t="s">
        <v>601</v>
      </c>
      <c r="F766" s="29" t="s">
        <v>36</v>
      </c>
      <c r="G766" s="29" t="s">
        <v>21</v>
      </c>
      <c r="H766" s="5">
        <v>1</v>
      </c>
      <c r="I766" s="2" t="s">
        <v>554</v>
      </c>
      <c r="J766" s="2">
        <v>2</v>
      </c>
      <c r="K766" s="32">
        <f>VLOOKUP(E766,照明設備稼働時間!$A$4:$E$31,5,FALSE)</f>
        <v>2299</v>
      </c>
      <c r="L766" s="32" t="str">
        <f t="shared" si="22"/>
        <v>FHF32W1階段灯　非常灯付</v>
      </c>
      <c r="M766" s="14">
        <f>VLOOKUP(L766,照明器具一覧!$B$4:$F$129,5,FALSE)</f>
        <v>36</v>
      </c>
      <c r="N766" s="14">
        <v>1</v>
      </c>
      <c r="O766" s="142">
        <f t="shared" si="23"/>
        <v>165.52799999999999</v>
      </c>
    </row>
    <row r="767" spans="1:15">
      <c r="A767" s="2" t="s">
        <v>1388</v>
      </c>
      <c r="B767" s="78" t="s">
        <v>1499</v>
      </c>
      <c r="C767" s="48" t="s">
        <v>561</v>
      </c>
      <c r="D767" s="14" t="s">
        <v>171</v>
      </c>
      <c r="E767" s="14" t="s">
        <v>44</v>
      </c>
      <c r="F767" s="29" t="s">
        <v>37</v>
      </c>
      <c r="G767" s="29" t="s">
        <v>21</v>
      </c>
      <c r="H767" s="5">
        <v>1</v>
      </c>
      <c r="I767" s="2" t="s">
        <v>91</v>
      </c>
      <c r="J767" s="2">
        <v>2</v>
      </c>
      <c r="K767" s="32">
        <f>VLOOKUP(E767,照明設備稼働時間!$A$4:$E$31,5,FALSE)</f>
        <v>242</v>
      </c>
      <c r="L767" s="32" t="str">
        <f t="shared" si="22"/>
        <v>FHF32W1逆富士</v>
      </c>
      <c r="M767" s="14">
        <f>VLOOKUP(L767,照明器具一覧!$B$4:$F$129,5,FALSE)</f>
        <v>36</v>
      </c>
      <c r="N767" s="14">
        <v>1</v>
      </c>
      <c r="O767" s="142">
        <f t="shared" si="23"/>
        <v>17.423999999999999</v>
      </c>
    </row>
    <row r="768" spans="1:15">
      <c r="A768" s="2" t="s">
        <v>1389</v>
      </c>
      <c r="B768" s="78" t="s">
        <v>1499</v>
      </c>
      <c r="C768" s="48" t="s">
        <v>291</v>
      </c>
      <c r="D768" s="14" t="s">
        <v>171</v>
      </c>
      <c r="E768" s="14" t="s">
        <v>1507</v>
      </c>
      <c r="F768" s="29" t="s">
        <v>38</v>
      </c>
      <c r="G768" s="29" t="s">
        <v>21</v>
      </c>
      <c r="H768" s="5">
        <v>1</v>
      </c>
      <c r="I768" s="2" t="s">
        <v>524</v>
      </c>
      <c r="J768" s="2">
        <v>1</v>
      </c>
      <c r="K768" s="32">
        <f>VLOOKUP(E768,照明設備稼働時間!$A$4:$E$31,5,FALSE)</f>
        <v>0</v>
      </c>
      <c r="L768" s="32" t="str">
        <f t="shared" si="22"/>
        <v>FHF32W1片反射笠付</v>
      </c>
      <c r="M768" s="14">
        <f>VLOOKUP(L768,照明器具一覧!$B$4:$F$129,5,FALSE)</f>
        <v>36</v>
      </c>
      <c r="N768" s="14">
        <v>1</v>
      </c>
      <c r="O768" s="142">
        <f t="shared" si="23"/>
        <v>0</v>
      </c>
    </row>
    <row r="769" spans="1:15">
      <c r="A769" s="2" t="s">
        <v>1390</v>
      </c>
      <c r="B769" s="78" t="s">
        <v>1499</v>
      </c>
      <c r="C769" s="48" t="s">
        <v>292</v>
      </c>
      <c r="D769" s="14" t="s">
        <v>171</v>
      </c>
      <c r="E769" s="14" t="s">
        <v>601</v>
      </c>
      <c r="F769" s="29" t="s">
        <v>39</v>
      </c>
      <c r="G769" s="29" t="s">
        <v>19</v>
      </c>
      <c r="H769" s="5">
        <v>1</v>
      </c>
      <c r="I769" s="2" t="s">
        <v>570</v>
      </c>
      <c r="J769" s="2">
        <v>1</v>
      </c>
      <c r="K769" s="32">
        <f>VLOOKUP(E769,照明設備稼働時間!$A$4:$E$31,5,FALSE)</f>
        <v>2299</v>
      </c>
      <c r="L769" s="32" t="str">
        <f t="shared" si="22"/>
        <v>FHF16W1埋込　高出力</v>
      </c>
      <c r="M769" s="14">
        <f>VLOOKUP(L769,照明器具一覧!$B$4:$F$129,5,FALSE)</f>
        <v>26</v>
      </c>
      <c r="N769" s="14">
        <v>0.33</v>
      </c>
      <c r="O769" s="142">
        <f t="shared" si="23"/>
        <v>19.725420000000003</v>
      </c>
    </row>
    <row r="770" spans="1:15">
      <c r="A770" s="2" t="s">
        <v>1391</v>
      </c>
      <c r="B770" s="78" t="s">
        <v>1499</v>
      </c>
      <c r="C770" s="48" t="s">
        <v>287</v>
      </c>
      <c r="D770" s="14" t="s">
        <v>171</v>
      </c>
      <c r="E770" s="14" t="s">
        <v>600</v>
      </c>
      <c r="F770" s="29" t="s">
        <v>182</v>
      </c>
      <c r="G770" s="29" t="s">
        <v>21</v>
      </c>
      <c r="H770" s="5">
        <v>2</v>
      </c>
      <c r="I770" s="2" t="s">
        <v>56</v>
      </c>
      <c r="J770" s="2">
        <v>12</v>
      </c>
      <c r="K770" s="32">
        <f>VLOOKUP(E770,照明設備稼働時間!$A$4:$E$31,5,FALSE)</f>
        <v>2299</v>
      </c>
      <c r="L770" s="32" t="str">
        <f t="shared" si="22"/>
        <v>FHF32W2システム天井</v>
      </c>
      <c r="M770" s="14">
        <f>VLOOKUP(L770,照明器具一覧!$B$4:$F$129,5,FALSE)</f>
        <v>72</v>
      </c>
      <c r="N770" s="14">
        <v>1</v>
      </c>
      <c r="O770" s="142">
        <f t="shared" si="23"/>
        <v>1986.336</v>
      </c>
    </row>
    <row r="771" spans="1:15">
      <c r="A771" s="2" t="s">
        <v>1392</v>
      </c>
      <c r="B771" s="78" t="s">
        <v>1499</v>
      </c>
      <c r="C771" s="48" t="s">
        <v>287</v>
      </c>
      <c r="D771" s="14" t="s">
        <v>171</v>
      </c>
      <c r="E771" s="14" t="s">
        <v>600</v>
      </c>
      <c r="F771" s="29" t="s">
        <v>183</v>
      </c>
      <c r="G771" s="29" t="s">
        <v>21</v>
      </c>
      <c r="H771" s="5">
        <v>2</v>
      </c>
      <c r="I771" s="2" t="s">
        <v>56</v>
      </c>
      <c r="J771" s="2">
        <v>8</v>
      </c>
      <c r="K771" s="32">
        <f>VLOOKUP(E771,照明設備稼働時間!$A$4:$E$31,5,FALSE)</f>
        <v>2299</v>
      </c>
      <c r="L771" s="32" t="str">
        <f t="shared" si="22"/>
        <v>FHF32W2システム天井</v>
      </c>
      <c r="M771" s="14">
        <f>VLOOKUP(L771,照明器具一覧!$B$4:$F$129,5,FALSE)</f>
        <v>72</v>
      </c>
      <c r="N771" s="14">
        <v>1</v>
      </c>
      <c r="O771" s="142">
        <f t="shared" si="23"/>
        <v>1324.2239999999999</v>
      </c>
    </row>
    <row r="772" spans="1:15">
      <c r="A772" s="2" t="s">
        <v>1393</v>
      </c>
      <c r="B772" s="78" t="s">
        <v>1499</v>
      </c>
      <c r="C772" s="48" t="s">
        <v>287</v>
      </c>
      <c r="D772" s="14" t="s">
        <v>171</v>
      </c>
      <c r="E772" s="14" t="s">
        <v>600</v>
      </c>
      <c r="F772" s="29" t="s">
        <v>184</v>
      </c>
      <c r="G772" s="29" t="s">
        <v>21</v>
      </c>
      <c r="H772" s="5">
        <v>2</v>
      </c>
      <c r="I772" s="2" t="s">
        <v>56</v>
      </c>
      <c r="J772" s="2">
        <v>8</v>
      </c>
      <c r="K772" s="32">
        <f>VLOOKUP(E772,照明設備稼働時間!$A$4:$E$31,5,FALSE)</f>
        <v>2299</v>
      </c>
      <c r="L772" s="32" t="str">
        <f t="shared" ref="L772:L835" si="24">G772&amp;H772&amp;I772</f>
        <v>FHF32W2システム天井</v>
      </c>
      <c r="M772" s="14">
        <f>VLOOKUP(L772,照明器具一覧!$B$4:$F$129,5,FALSE)</f>
        <v>72</v>
      </c>
      <c r="N772" s="14">
        <v>1</v>
      </c>
      <c r="O772" s="142">
        <f t="shared" si="23"/>
        <v>1324.2239999999999</v>
      </c>
    </row>
    <row r="773" spans="1:15">
      <c r="A773" s="2" t="s">
        <v>1394</v>
      </c>
      <c r="B773" s="78" t="s">
        <v>1499</v>
      </c>
      <c r="C773" s="48" t="s">
        <v>287</v>
      </c>
      <c r="D773" s="14" t="s">
        <v>171</v>
      </c>
      <c r="E773" s="14" t="s">
        <v>600</v>
      </c>
      <c r="F773" s="29" t="s">
        <v>185</v>
      </c>
      <c r="G773" s="29" t="s">
        <v>21</v>
      </c>
      <c r="H773" s="5">
        <v>2</v>
      </c>
      <c r="I773" s="2" t="s">
        <v>56</v>
      </c>
      <c r="J773" s="2">
        <v>12</v>
      </c>
      <c r="K773" s="32">
        <f>VLOOKUP(E773,照明設備稼働時間!$A$4:$E$31,5,FALSE)</f>
        <v>2299</v>
      </c>
      <c r="L773" s="32" t="str">
        <f t="shared" si="24"/>
        <v>FHF32W2システム天井</v>
      </c>
      <c r="M773" s="14">
        <f>VLOOKUP(L773,照明器具一覧!$B$4:$F$129,5,FALSE)</f>
        <v>72</v>
      </c>
      <c r="N773" s="14">
        <v>1</v>
      </c>
      <c r="O773" s="142">
        <f t="shared" ref="O773:O836" si="25">(M773*J773*K773*N773)/1000</f>
        <v>1986.336</v>
      </c>
    </row>
    <row r="774" spans="1:15">
      <c r="A774" s="2" t="s">
        <v>1395</v>
      </c>
      <c r="B774" s="78" t="s">
        <v>1499</v>
      </c>
      <c r="C774" s="48" t="s">
        <v>287</v>
      </c>
      <c r="D774" s="14" t="s">
        <v>171</v>
      </c>
      <c r="E774" s="14" t="s">
        <v>600</v>
      </c>
      <c r="F774" s="29" t="s">
        <v>186</v>
      </c>
      <c r="G774" s="29" t="s">
        <v>21</v>
      </c>
      <c r="H774" s="5">
        <v>2</v>
      </c>
      <c r="I774" s="2" t="s">
        <v>56</v>
      </c>
      <c r="J774" s="2">
        <v>24</v>
      </c>
      <c r="K774" s="32">
        <f>VLOOKUP(E774,照明設備稼働時間!$A$4:$E$31,5,FALSE)</f>
        <v>2299</v>
      </c>
      <c r="L774" s="32" t="str">
        <f t="shared" si="24"/>
        <v>FHF32W2システム天井</v>
      </c>
      <c r="M774" s="14">
        <f>VLOOKUP(L774,照明器具一覧!$B$4:$F$129,5,FALSE)</f>
        <v>72</v>
      </c>
      <c r="N774" s="14">
        <v>1</v>
      </c>
      <c r="O774" s="142">
        <f t="shared" si="25"/>
        <v>3972.672</v>
      </c>
    </row>
    <row r="775" spans="1:15">
      <c r="A775" s="2" t="s">
        <v>1396</v>
      </c>
      <c r="B775" s="78" t="s">
        <v>1499</v>
      </c>
      <c r="C775" s="48" t="s">
        <v>287</v>
      </c>
      <c r="D775" s="14" t="s">
        <v>171</v>
      </c>
      <c r="E775" s="14" t="s">
        <v>600</v>
      </c>
      <c r="F775" s="29" t="s">
        <v>187</v>
      </c>
      <c r="G775" s="29" t="s">
        <v>21</v>
      </c>
      <c r="H775" s="5">
        <v>2</v>
      </c>
      <c r="I775" s="2" t="s">
        <v>56</v>
      </c>
      <c r="J775" s="2">
        <v>24</v>
      </c>
      <c r="K775" s="32">
        <f>VLOOKUP(E775,照明設備稼働時間!$A$4:$E$31,5,FALSE)</f>
        <v>2299</v>
      </c>
      <c r="L775" s="32" t="str">
        <f t="shared" si="24"/>
        <v>FHF32W2システム天井</v>
      </c>
      <c r="M775" s="14">
        <f>VLOOKUP(L775,照明器具一覧!$B$4:$F$129,5,FALSE)</f>
        <v>72</v>
      </c>
      <c r="N775" s="14">
        <v>1</v>
      </c>
      <c r="O775" s="142">
        <f t="shared" si="25"/>
        <v>3972.672</v>
      </c>
    </row>
    <row r="776" spans="1:15">
      <c r="A776" s="2" t="s">
        <v>1397</v>
      </c>
      <c r="B776" s="78" t="s">
        <v>1499</v>
      </c>
      <c r="C776" s="48" t="s">
        <v>287</v>
      </c>
      <c r="D776" s="14" t="s">
        <v>171</v>
      </c>
      <c r="E776" s="14" t="s">
        <v>600</v>
      </c>
      <c r="F776" s="29" t="s">
        <v>188</v>
      </c>
      <c r="G776" s="29" t="s">
        <v>21</v>
      </c>
      <c r="H776" s="5">
        <v>2</v>
      </c>
      <c r="I776" s="2" t="s">
        <v>56</v>
      </c>
      <c r="J776" s="2">
        <v>28</v>
      </c>
      <c r="K776" s="32">
        <f>VLOOKUP(E776,照明設備稼働時間!$A$4:$E$31,5,FALSE)</f>
        <v>2299</v>
      </c>
      <c r="L776" s="32" t="str">
        <f t="shared" si="24"/>
        <v>FHF32W2システム天井</v>
      </c>
      <c r="M776" s="14">
        <f>VLOOKUP(L776,照明器具一覧!$B$4:$F$129,5,FALSE)</f>
        <v>72</v>
      </c>
      <c r="N776" s="14">
        <v>1</v>
      </c>
      <c r="O776" s="142">
        <f t="shared" si="25"/>
        <v>4634.7839999999997</v>
      </c>
    </row>
    <row r="777" spans="1:15">
      <c r="A777" s="2" t="s">
        <v>1398</v>
      </c>
      <c r="B777" s="78" t="s">
        <v>1499</v>
      </c>
      <c r="C777" s="48" t="s">
        <v>371</v>
      </c>
      <c r="D777" s="29" t="s">
        <v>171</v>
      </c>
      <c r="E777" s="29" t="s">
        <v>612</v>
      </c>
      <c r="F777" s="29" t="s">
        <v>189</v>
      </c>
      <c r="G777" s="29" t="s">
        <v>21</v>
      </c>
      <c r="H777" s="5">
        <v>2</v>
      </c>
      <c r="I777" s="2" t="s">
        <v>91</v>
      </c>
      <c r="J777" s="2">
        <v>1</v>
      </c>
      <c r="K777" s="32">
        <f>VLOOKUP(E777,照明設備稼働時間!$A$4:$E$31,5,FALSE)</f>
        <v>484</v>
      </c>
      <c r="L777" s="32" t="str">
        <f t="shared" si="24"/>
        <v>FHF32W2逆富士</v>
      </c>
      <c r="M777" s="14">
        <f>VLOOKUP(L777,照明器具一覧!$B$4:$F$129,5,FALSE)</f>
        <v>72</v>
      </c>
      <c r="N777" s="14">
        <v>1</v>
      </c>
      <c r="O777" s="142">
        <f t="shared" si="25"/>
        <v>34.847999999999999</v>
      </c>
    </row>
    <row r="778" spans="1:15">
      <c r="A778" s="2" t="s">
        <v>1399</v>
      </c>
      <c r="B778" s="78" t="s">
        <v>1499</v>
      </c>
      <c r="C778" s="48" t="s">
        <v>432</v>
      </c>
      <c r="D778" s="14" t="s">
        <v>171</v>
      </c>
      <c r="E778" s="14" t="s">
        <v>606</v>
      </c>
      <c r="F778" s="29" t="s">
        <v>34</v>
      </c>
      <c r="G778" s="29" t="s">
        <v>21</v>
      </c>
      <c r="H778" s="5">
        <v>2</v>
      </c>
      <c r="I778" s="2" t="s">
        <v>88</v>
      </c>
      <c r="J778" s="2">
        <v>4</v>
      </c>
      <c r="K778" s="32">
        <f>VLOOKUP(E778,照明設備稼働時間!$A$4:$E$31,5,FALSE)</f>
        <v>242</v>
      </c>
      <c r="L778" s="32" t="str">
        <f t="shared" si="24"/>
        <v>FHF32W2笠付</v>
      </c>
      <c r="M778" s="14">
        <f>VLOOKUP(L778,照明器具一覧!$B$4:$F$129,5,FALSE)</f>
        <v>36</v>
      </c>
      <c r="N778" s="14">
        <v>1</v>
      </c>
      <c r="O778" s="142">
        <f t="shared" si="25"/>
        <v>34.847999999999999</v>
      </c>
    </row>
    <row r="779" spans="1:15">
      <c r="A779" s="2" t="s">
        <v>1400</v>
      </c>
      <c r="B779" s="78" t="s">
        <v>1499</v>
      </c>
      <c r="C779" s="48" t="s">
        <v>371</v>
      </c>
      <c r="D779" s="14" t="s">
        <v>171</v>
      </c>
      <c r="E779" s="14" t="s">
        <v>612</v>
      </c>
      <c r="F779" s="29" t="s">
        <v>109</v>
      </c>
      <c r="G779" s="29" t="s">
        <v>21</v>
      </c>
      <c r="H779" s="5">
        <v>2</v>
      </c>
      <c r="I779" s="2" t="s">
        <v>91</v>
      </c>
      <c r="J779" s="2">
        <v>4</v>
      </c>
      <c r="K779" s="32">
        <f>VLOOKUP(E779,照明設備稼働時間!$A$4:$E$31,5,FALSE)</f>
        <v>484</v>
      </c>
      <c r="L779" s="32" t="str">
        <f t="shared" si="24"/>
        <v>FHF32W2逆富士</v>
      </c>
      <c r="M779" s="14">
        <f>VLOOKUP(L779,照明器具一覧!$B$4:$F$129,5,FALSE)</f>
        <v>72</v>
      </c>
      <c r="N779" s="14">
        <v>1</v>
      </c>
      <c r="O779" s="142">
        <f t="shared" si="25"/>
        <v>139.392</v>
      </c>
    </row>
    <row r="780" spans="1:15">
      <c r="A780" s="2" t="s">
        <v>1401</v>
      </c>
      <c r="B780" s="78" t="s">
        <v>1499</v>
      </c>
      <c r="C780" s="48" t="s">
        <v>371</v>
      </c>
      <c r="D780" s="14" t="s">
        <v>171</v>
      </c>
      <c r="E780" s="14" t="s">
        <v>612</v>
      </c>
      <c r="F780" s="29" t="s">
        <v>190</v>
      </c>
      <c r="G780" s="29" t="s">
        <v>21</v>
      </c>
      <c r="H780" s="5">
        <v>2</v>
      </c>
      <c r="I780" s="2" t="s">
        <v>91</v>
      </c>
      <c r="J780" s="2">
        <v>16</v>
      </c>
      <c r="K780" s="32">
        <f>VLOOKUP(E780,照明設備稼働時間!$A$4:$E$31,5,FALSE)</f>
        <v>484</v>
      </c>
      <c r="L780" s="32" t="str">
        <f t="shared" si="24"/>
        <v>FHF32W2逆富士</v>
      </c>
      <c r="M780" s="14">
        <f>VLOOKUP(L780,照明器具一覧!$B$4:$F$129,5,FALSE)</f>
        <v>72</v>
      </c>
      <c r="N780" s="14">
        <v>1</v>
      </c>
      <c r="O780" s="142">
        <f t="shared" si="25"/>
        <v>557.56799999999998</v>
      </c>
    </row>
    <row r="781" spans="1:15">
      <c r="A781" s="2" t="s">
        <v>1402</v>
      </c>
      <c r="B781" s="78" t="s">
        <v>1499</v>
      </c>
      <c r="C781" s="48" t="s">
        <v>371</v>
      </c>
      <c r="D781" s="14" t="s">
        <v>171</v>
      </c>
      <c r="E781" s="14" t="s">
        <v>606</v>
      </c>
      <c r="F781" s="29" t="s">
        <v>191</v>
      </c>
      <c r="G781" s="29" t="s">
        <v>21</v>
      </c>
      <c r="H781" s="5">
        <v>2</v>
      </c>
      <c r="I781" s="2" t="s">
        <v>91</v>
      </c>
      <c r="J781" s="2">
        <v>2</v>
      </c>
      <c r="K781" s="32">
        <f>VLOOKUP(E781,照明設備稼働時間!$A$4:$E$31,5,FALSE)</f>
        <v>242</v>
      </c>
      <c r="L781" s="32" t="str">
        <f t="shared" si="24"/>
        <v>FHF32W2逆富士</v>
      </c>
      <c r="M781" s="14">
        <f>VLOOKUP(L781,照明器具一覧!$B$4:$F$129,5,FALSE)</f>
        <v>72</v>
      </c>
      <c r="N781" s="14">
        <v>1</v>
      </c>
      <c r="O781" s="142">
        <f t="shared" si="25"/>
        <v>34.847999999999999</v>
      </c>
    </row>
    <row r="782" spans="1:15">
      <c r="A782" s="2" t="s">
        <v>1403</v>
      </c>
      <c r="B782" s="78" t="s">
        <v>1499</v>
      </c>
      <c r="C782" s="48" t="s">
        <v>562</v>
      </c>
      <c r="D782" s="14" t="s">
        <v>171</v>
      </c>
      <c r="E782" s="14" t="s">
        <v>600</v>
      </c>
      <c r="F782" s="29" t="s">
        <v>192</v>
      </c>
      <c r="G782" s="29" t="s">
        <v>21</v>
      </c>
      <c r="H782" s="5">
        <v>3</v>
      </c>
      <c r="I782" s="2" t="s">
        <v>556</v>
      </c>
      <c r="J782" s="2">
        <v>12</v>
      </c>
      <c r="K782" s="32">
        <f>VLOOKUP(E782,照明設備稼働時間!$A$4:$E$31,5,FALSE)</f>
        <v>2299</v>
      </c>
      <c r="L782" s="32" t="str">
        <f t="shared" si="24"/>
        <v>FHF32W3埋込</v>
      </c>
      <c r="M782" s="14">
        <f>VLOOKUP(L782,照明器具一覧!$B$4:$F$129,5,FALSE)</f>
        <v>108</v>
      </c>
      <c r="N782" s="14">
        <v>1</v>
      </c>
      <c r="O782" s="142">
        <f t="shared" si="25"/>
        <v>2979.5039999999999</v>
      </c>
    </row>
    <row r="783" spans="1:15">
      <c r="A783" s="2" t="s">
        <v>1404</v>
      </c>
      <c r="B783" s="78" t="s">
        <v>1499</v>
      </c>
      <c r="C783" s="48" t="s">
        <v>563</v>
      </c>
      <c r="D783" s="14" t="s">
        <v>171</v>
      </c>
      <c r="E783" s="14" t="s">
        <v>600</v>
      </c>
      <c r="F783" s="29" t="s">
        <v>193</v>
      </c>
      <c r="G783" s="29" t="s">
        <v>21</v>
      </c>
      <c r="H783" s="5">
        <v>3</v>
      </c>
      <c r="I783" s="2" t="s">
        <v>556</v>
      </c>
      <c r="J783" s="2">
        <v>9</v>
      </c>
      <c r="K783" s="32">
        <f>VLOOKUP(E783,照明設備稼働時間!$A$4:$E$31,5,FALSE)</f>
        <v>2299</v>
      </c>
      <c r="L783" s="32" t="str">
        <f t="shared" si="24"/>
        <v>FHF32W3埋込</v>
      </c>
      <c r="M783" s="14">
        <f>VLOOKUP(L783,照明器具一覧!$B$4:$F$129,5,FALSE)</f>
        <v>108</v>
      </c>
      <c r="N783" s="14">
        <v>1</v>
      </c>
      <c r="O783" s="142">
        <f t="shared" si="25"/>
        <v>2234.6280000000002</v>
      </c>
    </row>
    <row r="784" spans="1:15">
      <c r="A784" s="2" t="s">
        <v>1405</v>
      </c>
      <c r="B784" s="78" t="s">
        <v>1499</v>
      </c>
      <c r="C784" s="48" t="s">
        <v>563</v>
      </c>
      <c r="D784" s="14" t="s">
        <v>171</v>
      </c>
      <c r="E784" s="14" t="s">
        <v>600</v>
      </c>
      <c r="F784" s="29" t="s">
        <v>194</v>
      </c>
      <c r="G784" s="29" t="s">
        <v>21</v>
      </c>
      <c r="H784" s="5">
        <v>3</v>
      </c>
      <c r="I784" s="2" t="s">
        <v>556</v>
      </c>
      <c r="J784" s="2">
        <v>3</v>
      </c>
      <c r="K784" s="32">
        <f>VLOOKUP(E784,照明設備稼働時間!$A$4:$E$31,5,FALSE)</f>
        <v>2299</v>
      </c>
      <c r="L784" s="32" t="str">
        <f t="shared" si="24"/>
        <v>FHF32W3埋込</v>
      </c>
      <c r="M784" s="14">
        <f>VLOOKUP(L784,照明器具一覧!$B$4:$F$129,5,FALSE)</f>
        <v>108</v>
      </c>
      <c r="N784" s="14">
        <v>1</v>
      </c>
      <c r="O784" s="142">
        <f t="shared" si="25"/>
        <v>744.87599999999998</v>
      </c>
    </row>
    <row r="785" spans="1:15">
      <c r="A785" s="2" t="s">
        <v>1406</v>
      </c>
      <c r="B785" s="78" t="s">
        <v>1499</v>
      </c>
      <c r="C785" s="48" t="s">
        <v>282</v>
      </c>
      <c r="D785" s="14" t="s">
        <v>171</v>
      </c>
      <c r="E785" s="14" t="s">
        <v>603</v>
      </c>
      <c r="F785" s="29" t="s">
        <v>58</v>
      </c>
      <c r="G785" s="14" t="s">
        <v>21</v>
      </c>
      <c r="H785" s="5">
        <v>1</v>
      </c>
      <c r="I785" s="2" t="s">
        <v>91</v>
      </c>
      <c r="J785" s="2">
        <v>1</v>
      </c>
      <c r="K785" s="32">
        <f>VLOOKUP(E785,照明設備稼働時間!$A$4:$E$31,5,FALSE)</f>
        <v>968</v>
      </c>
      <c r="L785" s="32" t="str">
        <f t="shared" si="24"/>
        <v>FHF32W1逆富士</v>
      </c>
      <c r="M785" s="14">
        <f>VLOOKUP(L785,照明器具一覧!$B$4:$F$129,5,FALSE)</f>
        <v>36</v>
      </c>
      <c r="N785" s="14">
        <v>1</v>
      </c>
      <c r="O785" s="142">
        <f t="shared" si="25"/>
        <v>34.847999999999999</v>
      </c>
    </row>
    <row r="786" spans="1:15">
      <c r="A786" s="2" t="s">
        <v>1407</v>
      </c>
      <c r="B786" s="78" t="s">
        <v>1499</v>
      </c>
      <c r="C786" s="29"/>
      <c r="D786" s="14" t="s">
        <v>171</v>
      </c>
      <c r="E786" s="14" t="s">
        <v>603</v>
      </c>
      <c r="F786" s="29" t="s">
        <v>58</v>
      </c>
      <c r="G786" s="14" t="s">
        <v>31</v>
      </c>
      <c r="H786" s="5">
        <v>1</v>
      </c>
      <c r="I786" s="2" t="s">
        <v>316</v>
      </c>
      <c r="J786" s="2">
        <v>3</v>
      </c>
      <c r="K786" s="32">
        <f>VLOOKUP(E786,照明設備稼働時間!$A$4:$E$31,5,FALSE)</f>
        <v>968</v>
      </c>
      <c r="L786" s="32" t="str">
        <f t="shared" si="24"/>
        <v>LED電球1レセップ</v>
      </c>
      <c r="M786" s="14">
        <f>VLOOKUP(L786,照明器具一覧!$B$4:$F$129,5,FALSE)</f>
        <v>4.5999999999999996</v>
      </c>
      <c r="N786" s="14">
        <v>0.66</v>
      </c>
      <c r="O786" s="142">
        <f t="shared" si="25"/>
        <v>8.8165440000000004</v>
      </c>
    </row>
    <row r="787" spans="1:15">
      <c r="A787" s="2" t="s">
        <v>1408</v>
      </c>
      <c r="B787" s="78" t="s">
        <v>1499</v>
      </c>
      <c r="C787" s="48" t="s">
        <v>282</v>
      </c>
      <c r="D787" s="14" t="s">
        <v>171</v>
      </c>
      <c r="E787" s="14" t="s">
        <v>603</v>
      </c>
      <c r="F787" s="29" t="s">
        <v>59</v>
      </c>
      <c r="G787" s="14" t="s">
        <v>21</v>
      </c>
      <c r="H787" s="5">
        <v>1</v>
      </c>
      <c r="I787" s="2" t="s">
        <v>91</v>
      </c>
      <c r="J787" s="2">
        <v>1</v>
      </c>
      <c r="K787" s="32">
        <f>VLOOKUP(E787,照明設備稼働時間!$A$4:$E$31,5,FALSE)</f>
        <v>968</v>
      </c>
      <c r="L787" s="32" t="str">
        <f t="shared" si="24"/>
        <v>FHF32W1逆富士</v>
      </c>
      <c r="M787" s="14">
        <f>VLOOKUP(L787,照明器具一覧!$B$4:$F$129,5,FALSE)</f>
        <v>36</v>
      </c>
      <c r="N787" s="14">
        <v>1</v>
      </c>
      <c r="O787" s="142">
        <f t="shared" si="25"/>
        <v>34.847999999999999</v>
      </c>
    </row>
    <row r="788" spans="1:15">
      <c r="A788" s="2" t="s">
        <v>1409</v>
      </c>
      <c r="B788" s="78" t="s">
        <v>1499</v>
      </c>
      <c r="C788" s="29"/>
      <c r="D788" s="14" t="s">
        <v>171</v>
      </c>
      <c r="E788" s="14" t="s">
        <v>603</v>
      </c>
      <c r="F788" s="29" t="s">
        <v>59</v>
      </c>
      <c r="G788" s="14" t="s">
        <v>31</v>
      </c>
      <c r="H788" s="5">
        <v>1</v>
      </c>
      <c r="I788" s="2" t="s">
        <v>316</v>
      </c>
      <c r="J788" s="2">
        <v>2</v>
      </c>
      <c r="K788" s="32">
        <f>VLOOKUP(E788,照明設備稼働時間!$A$4:$E$31,5,FALSE)</f>
        <v>968</v>
      </c>
      <c r="L788" s="32" t="str">
        <f t="shared" si="24"/>
        <v>LED電球1レセップ</v>
      </c>
      <c r="M788" s="14">
        <f>VLOOKUP(L788,照明器具一覧!$B$4:$F$129,5,FALSE)</f>
        <v>4.5999999999999996</v>
      </c>
      <c r="N788" s="14">
        <v>0.5</v>
      </c>
      <c r="O788" s="142">
        <f t="shared" si="25"/>
        <v>4.452799999999999</v>
      </c>
    </row>
    <row r="789" spans="1:15">
      <c r="A789" s="2" t="s">
        <v>1410</v>
      </c>
      <c r="B789" s="78" t="s">
        <v>1499</v>
      </c>
      <c r="C789" s="48" t="s">
        <v>284</v>
      </c>
      <c r="D789" s="14" t="s">
        <v>171</v>
      </c>
      <c r="E789" s="14" t="s">
        <v>1507</v>
      </c>
      <c r="F789" s="29" t="s">
        <v>61</v>
      </c>
      <c r="G789" s="14" t="s">
        <v>19</v>
      </c>
      <c r="H789" s="5">
        <v>1</v>
      </c>
      <c r="I789" s="2" t="s">
        <v>506</v>
      </c>
      <c r="J789" s="2">
        <v>1</v>
      </c>
      <c r="K789" s="32">
        <f>VLOOKUP(E789,照明設備稼働時間!$A$4:$E$31,5,FALSE)</f>
        <v>0</v>
      </c>
      <c r="L789" s="32" t="str">
        <f t="shared" si="24"/>
        <v>FHF16W1片反射笠付(高出力)</v>
      </c>
      <c r="M789" s="14">
        <f>VLOOKUP(L789,照明器具一覧!$B$4:$F$129,5,FALSE)</f>
        <v>26</v>
      </c>
      <c r="N789" s="14">
        <v>1</v>
      </c>
      <c r="O789" s="142">
        <f t="shared" si="25"/>
        <v>0</v>
      </c>
    </row>
    <row r="790" spans="1:15">
      <c r="A790" s="2" t="s">
        <v>1411</v>
      </c>
      <c r="B790" s="78" t="s">
        <v>1499</v>
      </c>
      <c r="C790" s="48" t="s">
        <v>283</v>
      </c>
      <c r="D790" s="14" t="s">
        <v>171</v>
      </c>
      <c r="E790" s="14" t="s">
        <v>601</v>
      </c>
      <c r="F790" s="29" t="s">
        <v>45</v>
      </c>
      <c r="G790" s="29" t="s">
        <v>21</v>
      </c>
      <c r="H790" s="5">
        <v>1</v>
      </c>
      <c r="I790" s="2" t="s">
        <v>511</v>
      </c>
      <c r="J790" s="2">
        <v>4</v>
      </c>
      <c r="K790" s="32">
        <f>VLOOKUP(E790,照明設備稼働時間!$A$4:$E$31,5,FALSE)</f>
        <v>2299</v>
      </c>
      <c r="L790" s="32" t="str">
        <f t="shared" si="24"/>
        <v>FHF32W1埋込W190</v>
      </c>
      <c r="M790" s="14">
        <f>VLOOKUP(L790,照明器具一覧!$B$4:$F$129,5,FALSE)</f>
        <v>36</v>
      </c>
      <c r="N790" s="14">
        <v>0.33</v>
      </c>
      <c r="O790" s="142">
        <f t="shared" si="25"/>
        <v>109.24848000000001</v>
      </c>
    </row>
    <row r="791" spans="1:15">
      <c r="A791" s="2" t="s">
        <v>1412</v>
      </c>
      <c r="B791" s="78" t="s">
        <v>1499</v>
      </c>
      <c r="C791" s="48" t="s">
        <v>285</v>
      </c>
      <c r="D791" s="14" t="s">
        <v>171</v>
      </c>
      <c r="E791" s="14" t="s">
        <v>601</v>
      </c>
      <c r="F791" s="29" t="s">
        <v>46</v>
      </c>
      <c r="G791" s="29" t="s">
        <v>21</v>
      </c>
      <c r="H791" s="5">
        <v>1</v>
      </c>
      <c r="I791" s="2" t="s">
        <v>554</v>
      </c>
      <c r="J791" s="2">
        <v>2</v>
      </c>
      <c r="K791" s="32">
        <f>VLOOKUP(E791,照明設備稼働時間!$A$4:$E$31,5,FALSE)</f>
        <v>2299</v>
      </c>
      <c r="L791" s="32" t="str">
        <f t="shared" si="24"/>
        <v>FHF32W1階段灯　非常灯付</v>
      </c>
      <c r="M791" s="14">
        <f>VLOOKUP(L791,照明器具一覧!$B$4:$F$129,5,FALSE)</f>
        <v>36</v>
      </c>
      <c r="N791" s="14">
        <v>1</v>
      </c>
      <c r="O791" s="142">
        <f t="shared" si="25"/>
        <v>165.52799999999999</v>
      </c>
    </row>
    <row r="792" spans="1:15">
      <c r="A792" s="2" t="s">
        <v>1413</v>
      </c>
      <c r="B792" s="78" t="s">
        <v>1499</v>
      </c>
      <c r="C792" s="48" t="s">
        <v>282</v>
      </c>
      <c r="D792" s="14" t="s">
        <v>171</v>
      </c>
      <c r="E792" s="14" t="s">
        <v>604</v>
      </c>
      <c r="F792" s="29" t="s">
        <v>195</v>
      </c>
      <c r="G792" s="14" t="s">
        <v>21</v>
      </c>
      <c r="H792" s="5">
        <v>1</v>
      </c>
      <c r="I792" s="2" t="s">
        <v>91</v>
      </c>
      <c r="J792" s="2">
        <v>1</v>
      </c>
      <c r="K792" s="32">
        <f>VLOOKUP(E792,照明設備稼働時間!$A$4:$E$31,5,FALSE)</f>
        <v>726</v>
      </c>
      <c r="L792" s="32" t="str">
        <f t="shared" si="24"/>
        <v>FHF32W1逆富士</v>
      </c>
      <c r="M792" s="14">
        <f>VLOOKUP(L792,照明器具一覧!$B$4:$F$129,5,FALSE)</f>
        <v>36</v>
      </c>
      <c r="N792" s="14">
        <v>1</v>
      </c>
      <c r="O792" s="142">
        <f t="shared" si="25"/>
        <v>26.135999999999999</v>
      </c>
    </row>
    <row r="793" spans="1:15">
      <c r="A793" s="2" t="s">
        <v>1414</v>
      </c>
      <c r="B793" s="78" t="s">
        <v>1499</v>
      </c>
      <c r="C793" s="48" t="s">
        <v>282</v>
      </c>
      <c r="D793" s="29" t="s">
        <v>171</v>
      </c>
      <c r="E793" s="29" t="s">
        <v>604</v>
      </c>
      <c r="F793" s="29" t="s">
        <v>195</v>
      </c>
      <c r="G793" s="14" t="s">
        <v>21</v>
      </c>
      <c r="H793" s="5">
        <v>1</v>
      </c>
      <c r="I793" s="2" t="s">
        <v>91</v>
      </c>
      <c r="J793" s="2">
        <v>1</v>
      </c>
      <c r="K793" s="32">
        <f>VLOOKUP(E793,照明設備稼働時間!$A$4:$E$31,5,FALSE)</f>
        <v>726</v>
      </c>
      <c r="L793" s="32" t="str">
        <f t="shared" si="24"/>
        <v>FHF32W1逆富士</v>
      </c>
      <c r="M793" s="14">
        <f>VLOOKUP(L793,照明器具一覧!$B$4:$F$129,5,FALSE)</f>
        <v>36</v>
      </c>
      <c r="N793" s="14">
        <v>1</v>
      </c>
      <c r="O793" s="142">
        <f t="shared" si="25"/>
        <v>26.135999999999999</v>
      </c>
    </row>
    <row r="794" spans="1:15">
      <c r="A794" s="2" t="s">
        <v>1415</v>
      </c>
      <c r="B794" s="78" t="s">
        <v>1499</v>
      </c>
      <c r="C794" s="48" t="s">
        <v>294</v>
      </c>
      <c r="D794" s="14" t="s">
        <v>171</v>
      </c>
      <c r="E794" s="14" t="s">
        <v>606</v>
      </c>
      <c r="F794" s="29" t="s">
        <v>196</v>
      </c>
      <c r="G794" s="14" t="s">
        <v>21</v>
      </c>
      <c r="H794" s="5">
        <v>1</v>
      </c>
      <c r="I794" s="2" t="s">
        <v>88</v>
      </c>
      <c r="J794" s="2">
        <v>2</v>
      </c>
      <c r="K794" s="32">
        <f>VLOOKUP(E794,照明設備稼働時間!$A$4:$E$31,5,FALSE)</f>
        <v>242</v>
      </c>
      <c r="L794" s="32" t="str">
        <f t="shared" si="24"/>
        <v>FHF32W1笠付</v>
      </c>
      <c r="M794" s="14">
        <f>VLOOKUP(L794,照明器具一覧!$B$4:$F$129,5,FALSE)</f>
        <v>36</v>
      </c>
      <c r="N794" s="14">
        <v>1</v>
      </c>
      <c r="O794" s="142">
        <f t="shared" si="25"/>
        <v>17.423999999999999</v>
      </c>
    </row>
    <row r="795" spans="1:15">
      <c r="A795" s="2" t="s">
        <v>1416</v>
      </c>
      <c r="B795" s="78" t="s">
        <v>1499</v>
      </c>
      <c r="C795" s="48" t="s">
        <v>294</v>
      </c>
      <c r="D795" s="14" t="s">
        <v>171</v>
      </c>
      <c r="E795" s="14" t="s">
        <v>606</v>
      </c>
      <c r="F795" s="29" t="s">
        <v>197</v>
      </c>
      <c r="G795" s="14" t="s">
        <v>21</v>
      </c>
      <c r="H795" s="5">
        <v>1</v>
      </c>
      <c r="I795" s="2" t="s">
        <v>88</v>
      </c>
      <c r="J795" s="2">
        <v>1</v>
      </c>
      <c r="K795" s="32">
        <f>VLOOKUP(E795,照明設備稼働時間!$A$4:$E$31,5,FALSE)</f>
        <v>242</v>
      </c>
      <c r="L795" s="32" t="str">
        <f t="shared" si="24"/>
        <v>FHF32W1笠付</v>
      </c>
      <c r="M795" s="14">
        <f>VLOOKUP(L795,照明器具一覧!$B$4:$F$129,5,FALSE)</f>
        <v>36</v>
      </c>
      <c r="N795" s="14">
        <v>1</v>
      </c>
      <c r="O795" s="142">
        <f t="shared" si="25"/>
        <v>8.7119999999999997</v>
      </c>
    </row>
    <row r="796" spans="1:15">
      <c r="A796" s="2" t="s">
        <v>1417</v>
      </c>
      <c r="B796" s="78" t="s">
        <v>1499</v>
      </c>
      <c r="C796" s="48" t="s">
        <v>294</v>
      </c>
      <c r="D796" s="14" t="s">
        <v>171</v>
      </c>
      <c r="E796" s="14" t="s">
        <v>606</v>
      </c>
      <c r="F796" s="29" t="s">
        <v>198</v>
      </c>
      <c r="G796" s="14" t="s">
        <v>21</v>
      </c>
      <c r="H796" s="5">
        <v>1</v>
      </c>
      <c r="I796" s="2" t="s">
        <v>88</v>
      </c>
      <c r="J796" s="2">
        <v>2</v>
      </c>
      <c r="K796" s="32">
        <f>VLOOKUP(E796,照明設備稼働時間!$A$4:$E$31,5,FALSE)</f>
        <v>242</v>
      </c>
      <c r="L796" s="32" t="str">
        <f t="shared" si="24"/>
        <v>FHF32W1笠付</v>
      </c>
      <c r="M796" s="14">
        <f>VLOOKUP(L796,照明器具一覧!$B$4:$F$129,5,FALSE)</f>
        <v>36</v>
      </c>
      <c r="N796" s="14">
        <v>1</v>
      </c>
      <c r="O796" s="142">
        <f t="shared" si="25"/>
        <v>17.423999999999999</v>
      </c>
    </row>
    <row r="797" spans="1:15">
      <c r="A797" s="2" t="s">
        <v>1418</v>
      </c>
      <c r="B797" s="78" t="s">
        <v>1499</v>
      </c>
      <c r="C797" s="48" t="s">
        <v>290</v>
      </c>
      <c r="D797" s="14" t="s">
        <v>171</v>
      </c>
      <c r="E797" s="14" t="s">
        <v>160</v>
      </c>
      <c r="F797" s="29" t="s">
        <v>199</v>
      </c>
      <c r="G797" s="14" t="s">
        <v>21</v>
      </c>
      <c r="H797" s="5">
        <v>1</v>
      </c>
      <c r="I797" s="2" t="s">
        <v>89</v>
      </c>
      <c r="J797" s="2">
        <v>291</v>
      </c>
      <c r="K797" s="32">
        <f>VLOOKUP(E797,照明設備稼働時間!$A$4:$E$31,5,FALSE)</f>
        <v>276</v>
      </c>
      <c r="L797" s="32" t="str">
        <f t="shared" si="24"/>
        <v>FHF32W1トラフ</v>
      </c>
      <c r="M797" s="14">
        <f>VLOOKUP(L797,照明器具一覧!$B$4:$F$129,5,FALSE)</f>
        <v>36</v>
      </c>
      <c r="N797" s="14">
        <v>1</v>
      </c>
      <c r="O797" s="142">
        <f t="shared" si="25"/>
        <v>2891.3760000000002</v>
      </c>
    </row>
    <row r="798" spans="1:15">
      <c r="A798" s="2" t="s">
        <v>1419</v>
      </c>
      <c r="B798" s="78" t="s">
        <v>1499</v>
      </c>
      <c r="C798" s="29"/>
      <c r="D798" s="14" t="s">
        <v>171</v>
      </c>
      <c r="E798" s="14" t="s">
        <v>160</v>
      </c>
      <c r="F798" s="29" t="s">
        <v>199</v>
      </c>
      <c r="G798" s="14" t="s">
        <v>217</v>
      </c>
      <c r="H798" s="5">
        <v>1</v>
      </c>
      <c r="I798" s="2" t="s">
        <v>73</v>
      </c>
      <c r="J798" s="2">
        <v>98</v>
      </c>
      <c r="K798" s="32">
        <f>VLOOKUP(E798,照明設備稼働時間!$A$4:$E$31,5,FALSE)</f>
        <v>276</v>
      </c>
      <c r="L798" s="32" t="str">
        <f t="shared" si="24"/>
        <v>FHT42W1ダウンライト</v>
      </c>
      <c r="M798" s="14">
        <f>VLOOKUP(L798,照明器具一覧!$B$4:$F$129,5,FALSE)</f>
        <v>48</v>
      </c>
      <c r="N798" s="14">
        <v>1</v>
      </c>
      <c r="O798" s="142">
        <f t="shared" si="25"/>
        <v>1298.3040000000001</v>
      </c>
    </row>
    <row r="799" spans="1:15">
      <c r="A799" s="2" t="s">
        <v>1420</v>
      </c>
      <c r="B799" s="78" t="s">
        <v>1499</v>
      </c>
      <c r="C799" s="48" t="s">
        <v>294</v>
      </c>
      <c r="D799" s="14" t="s">
        <v>171</v>
      </c>
      <c r="E799" s="14" t="s">
        <v>606</v>
      </c>
      <c r="F799" s="29" t="s">
        <v>149</v>
      </c>
      <c r="G799" s="14" t="s">
        <v>21</v>
      </c>
      <c r="H799" s="5">
        <v>1</v>
      </c>
      <c r="I799" s="2" t="s">
        <v>88</v>
      </c>
      <c r="J799" s="2">
        <v>2</v>
      </c>
      <c r="K799" s="32">
        <f>VLOOKUP(E799,照明設備稼働時間!$A$4:$E$31,5,FALSE)</f>
        <v>242</v>
      </c>
      <c r="L799" s="32" t="str">
        <f t="shared" si="24"/>
        <v>FHF32W1笠付</v>
      </c>
      <c r="M799" s="14">
        <f>VLOOKUP(L799,照明器具一覧!$B$4:$F$129,5,FALSE)</f>
        <v>36</v>
      </c>
      <c r="N799" s="14">
        <v>1</v>
      </c>
      <c r="O799" s="142">
        <f t="shared" si="25"/>
        <v>17.423999999999999</v>
      </c>
    </row>
    <row r="800" spans="1:15">
      <c r="A800" s="2" t="s">
        <v>1421</v>
      </c>
      <c r="B800" s="78" t="s">
        <v>1499</v>
      </c>
      <c r="C800" s="48" t="s">
        <v>294</v>
      </c>
      <c r="D800" s="14" t="s">
        <v>171</v>
      </c>
      <c r="E800" s="14" t="s">
        <v>160</v>
      </c>
      <c r="F800" s="29" t="s">
        <v>200</v>
      </c>
      <c r="G800" s="14" t="s">
        <v>21</v>
      </c>
      <c r="H800" s="5">
        <v>1</v>
      </c>
      <c r="I800" s="2" t="s">
        <v>88</v>
      </c>
      <c r="J800" s="2">
        <v>1</v>
      </c>
      <c r="K800" s="32">
        <f>VLOOKUP(E800,照明設備稼働時間!$A$4:$E$31,5,FALSE)</f>
        <v>276</v>
      </c>
      <c r="L800" s="32" t="str">
        <f t="shared" si="24"/>
        <v>FHF32W1笠付</v>
      </c>
      <c r="M800" s="14">
        <f>VLOOKUP(L800,照明器具一覧!$B$4:$F$129,5,FALSE)</f>
        <v>36</v>
      </c>
      <c r="N800" s="14">
        <v>1</v>
      </c>
      <c r="O800" s="142">
        <f t="shared" si="25"/>
        <v>9.9359999999999999</v>
      </c>
    </row>
    <row r="801" spans="1:15">
      <c r="A801" s="2" t="s">
        <v>1422</v>
      </c>
      <c r="B801" s="78" t="s">
        <v>1499</v>
      </c>
      <c r="C801" s="48" t="s">
        <v>564</v>
      </c>
      <c r="D801" s="14" t="s">
        <v>171</v>
      </c>
      <c r="E801" s="14" t="s">
        <v>160</v>
      </c>
      <c r="F801" s="29" t="s">
        <v>201</v>
      </c>
      <c r="G801" s="29" t="s">
        <v>21</v>
      </c>
      <c r="H801" s="5">
        <v>1</v>
      </c>
      <c r="I801" s="2" t="s">
        <v>91</v>
      </c>
      <c r="J801" s="2">
        <v>6</v>
      </c>
      <c r="K801" s="32">
        <f>VLOOKUP(E801,照明設備稼働時間!$A$4:$E$31,5,FALSE)</f>
        <v>276</v>
      </c>
      <c r="L801" s="32" t="str">
        <f t="shared" si="24"/>
        <v>FHF32W1逆富士</v>
      </c>
      <c r="M801" s="14">
        <f>VLOOKUP(L801,照明器具一覧!$B$4:$F$129,5,FALSE)</f>
        <v>36</v>
      </c>
      <c r="N801" s="14">
        <v>1</v>
      </c>
      <c r="O801" s="142">
        <f t="shared" si="25"/>
        <v>59.616</v>
      </c>
    </row>
    <row r="802" spans="1:15">
      <c r="A802" s="2" t="s">
        <v>1423</v>
      </c>
      <c r="B802" s="78" t="s">
        <v>1499</v>
      </c>
      <c r="C802" s="48" t="s">
        <v>282</v>
      </c>
      <c r="D802" s="14" t="s">
        <v>171</v>
      </c>
      <c r="E802" s="14" t="s">
        <v>612</v>
      </c>
      <c r="F802" s="14" t="s">
        <v>202</v>
      </c>
      <c r="G802" s="29" t="s">
        <v>21</v>
      </c>
      <c r="H802" s="5">
        <v>1</v>
      </c>
      <c r="I802" s="2" t="s">
        <v>91</v>
      </c>
      <c r="J802" s="2">
        <v>2</v>
      </c>
      <c r="K802" s="32">
        <f>VLOOKUP(E802,照明設備稼働時間!$A$4:$E$31,5,FALSE)</f>
        <v>484</v>
      </c>
      <c r="L802" s="32" t="str">
        <f t="shared" si="24"/>
        <v>FHF32W1逆富士</v>
      </c>
      <c r="M802" s="14">
        <f>VLOOKUP(L802,照明器具一覧!$B$4:$F$129,5,FALSE)</f>
        <v>36</v>
      </c>
      <c r="N802" s="14">
        <v>1</v>
      </c>
      <c r="O802" s="142">
        <f t="shared" si="25"/>
        <v>34.847999999999999</v>
      </c>
    </row>
    <row r="803" spans="1:15">
      <c r="A803" s="2" t="s">
        <v>1424</v>
      </c>
      <c r="B803" s="78" t="s">
        <v>1499</v>
      </c>
      <c r="C803" s="48" t="s">
        <v>291</v>
      </c>
      <c r="D803" s="14" t="s">
        <v>171</v>
      </c>
      <c r="E803" s="14" t="s">
        <v>1507</v>
      </c>
      <c r="F803" s="14" t="s">
        <v>64</v>
      </c>
      <c r="G803" s="14" t="s">
        <v>21</v>
      </c>
      <c r="H803" s="5">
        <v>1</v>
      </c>
      <c r="I803" s="2" t="s">
        <v>524</v>
      </c>
      <c r="J803" s="2">
        <v>1</v>
      </c>
      <c r="K803" s="32">
        <f>VLOOKUP(E803,照明設備稼働時間!$A$4:$E$31,5,FALSE)</f>
        <v>0</v>
      </c>
      <c r="L803" s="32" t="str">
        <f t="shared" si="24"/>
        <v>FHF32W1片反射笠付</v>
      </c>
      <c r="M803" s="14">
        <f>VLOOKUP(L803,照明器具一覧!$B$4:$F$129,5,FALSE)</f>
        <v>36</v>
      </c>
      <c r="N803" s="14">
        <v>1</v>
      </c>
      <c r="O803" s="142">
        <f t="shared" si="25"/>
        <v>0</v>
      </c>
    </row>
    <row r="804" spans="1:15">
      <c r="A804" s="2" t="s">
        <v>1425</v>
      </c>
      <c r="B804" s="78" t="s">
        <v>1499</v>
      </c>
      <c r="C804" s="48" t="s">
        <v>283</v>
      </c>
      <c r="D804" s="14" t="s">
        <v>171</v>
      </c>
      <c r="E804" s="14" t="s">
        <v>1508</v>
      </c>
      <c r="F804" s="14" t="s">
        <v>65</v>
      </c>
      <c r="G804" s="29" t="s">
        <v>21</v>
      </c>
      <c r="H804" s="5">
        <v>1</v>
      </c>
      <c r="I804" s="2" t="s">
        <v>511</v>
      </c>
      <c r="J804" s="2">
        <v>2</v>
      </c>
      <c r="K804" s="32">
        <f>VLOOKUP(E804,照明設備稼働時間!$A$4:$E$31,5,FALSE)</f>
        <v>8760</v>
      </c>
      <c r="L804" s="32" t="str">
        <f t="shared" si="24"/>
        <v>FHF32W1埋込W190</v>
      </c>
      <c r="M804" s="14">
        <f>VLOOKUP(L804,照明器具一覧!$B$4:$F$129,5,FALSE)</f>
        <v>36</v>
      </c>
      <c r="N804" s="14">
        <v>1</v>
      </c>
      <c r="O804" s="142">
        <f t="shared" si="25"/>
        <v>630.72</v>
      </c>
    </row>
    <row r="805" spans="1:15">
      <c r="A805" s="2" t="s">
        <v>1426</v>
      </c>
      <c r="B805" s="78" t="s">
        <v>1499</v>
      </c>
      <c r="C805" s="29"/>
      <c r="D805" s="14" t="s">
        <v>171</v>
      </c>
      <c r="E805" s="14" t="s">
        <v>1508</v>
      </c>
      <c r="F805" s="14" t="s">
        <v>65</v>
      </c>
      <c r="G805" s="29" t="s">
        <v>72</v>
      </c>
      <c r="H805" s="5">
        <v>1</v>
      </c>
      <c r="I805" s="2" t="s">
        <v>73</v>
      </c>
      <c r="J805" s="2">
        <v>1</v>
      </c>
      <c r="K805" s="32">
        <f>VLOOKUP(E805,照明設備稼働時間!$A$4:$E$31,5,FALSE)</f>
        <v>8760</v>
      </c>
      <c r="L805" s="32" t="str">
        <f t="shared" si="24"/>
        <v>IL60W1ダウンライト</v>
      </c>
      <c r="M805" s="14">
        <f>VLOOKUP(L805,照明器具一覧!$B$4:$F$129,5,FALSE)</f>
        <v>60</v>
      </c>
      <c r="N805" s="14">
        <v>1</v>
      </c>
      <c r="O805" s="142">
        <f t="shared" si="25"/>
        <v>525.6</v>
      </c>
    </row>
    <row r="806" spans="1:15">
      <c r="A806" s="2" t="s">
        <v>1427</v>
      </c>
      <c r="B806" s="78" t="s">
        <v>1499</v>
      </c>
      <c r="C806" s="48" t="s">
        <v>292</v>
      </c>
      <c r="D806" s="14" t="s">
        <v>171</v>
      </c>
      <c r="E806" s="14" t="s">
        <v>601</v>
      </c>
      <c r="F806" s="14" t="s">
        <v>49</v>
      </c>
      <c r="G806" s="29" t="s">
        <v>19</v>
      </c>
      <c r="H806" s="5">
        <v>1</v>
      </c>
      <c r="I806" s="2" t="s">
        <v>570</v>
      </c>
      <c r="J806" s="2">
        <v>1</v>
      </c>
      <c r="K806" s="32">
        <f>VLOOKUP(E806,照明設備稼働時間!$A$4:$E$31,5,FALSE)</f>
        <v>2299</v>
      </c>
      <c r="L806" s="32" t="str">
        <f t="shared" si="24"/>
        <v>FHF16W1埋込　高出力</v>
      </c>
      <c r="M806" s="14">
        <f>VLOOKUP(L806,照明器具一覧!$B$4:$F$129,5,FALSE)</f>
        <v>26</v>
      </c>
      <c r="N806" s="14">
        <v>0.33</v>
      </c>
      <c r="O806" s="142">
        <f t="shared" si="25"/>
        <v>19.725420000000003</v>
      </c>
    </row>
    <row r="807" spans="1:15">
      <c r="A807" s="2" t="s">
        <v>1428</v>
      </c>
      <c r="B807" s="78" t="s">
        <v>1499</v>
      </c>
      <c r="C807" s="48" t="s">
        <v>285</v>
      </c>
      <c r="D807" s="14" t="s">
        <v>171</v>
      </c>
      <c r="E807" s="14" t="s">
        <v>601</v>
      </c>
      <c r="F807" s="14" t="s">
        <v>50</v>
      </c>
      <c r="G807" s="14" t="s">
        <v>21</v>
      </c>
      <c r="H807" s="5">
        <v>1</v>
      </c>
      <c r="I807" s="2" t="s">
        <v>554</v>
      </c>
      <c r="J807" s="2">
        <v>2</v>
      </c>
      <c r="K807" s="32">
        <f>VLOOKUP(E807,照明設備稼働時間!$A$4:$E$31,5,FALSE)</f>
        <v>2299</v>
      </c>
      <c r="L807" s="32" t="str">
        <f t="shared" si="24"/>
        <v>FHF32W1階段灯　非常灯付</v>
      </c>
      <c r="M807" s="14">
        <f>VLOOKUP(L807,照明器具一覧!$B$4:$F$129,5,FALSE)</f>
        <v>36</v>
      </c>
      <c r="N807" s="14">
        <v>1</v>
      </c>
      <c r="O807" s="142">
        <f t="shared" si="25"/>
        <v>165.52799999999999</v>
      </c>
    </row>
    <row r="808" spans="1:15">
      <c r="A808" s="2" t="s">
        <v>1429</v>
      </c>
      <c r="B808" s="78" t="s">
        <v>1499</v>
      </c>
      <c r="C808" s="48" t="s">
        <v>295</v>
      </c>
      <c r="D808" s="14" t="s">
        <v>171</v>
      </c>
      <c r="E808" s="14" t="s">
        <v>44</v>
      </c>
      <c r="F808" s="14" t="s">
        <v>203</v>
      </c>
      <c r="G808" s="14" t="s">
        <v>21</v>
      </c>
      <c r="H808" s="5">
        <v>2</v>
      </c>
      <c r="I808" s="2" t="s">
        <v>509</v>
      </c>
      <c r="J808" s="2">
        <v>2</v>
      </c>
      <c r="K808" s="32">
        <f>VLOOKUP(E808,照明設備稼働時間!$A$4:$E$31,5,FALSE)</f>
        <v>242</v>
      </c>
      <c r="L808" s="32" t="str">
        <f t="shared" si="24"/>
        <v>FHF32W2埋込W300</v>
      </c>
      <c r="M808" s="14">
        <f>VLOOKUP(L808,照明器具一覧!$B$4:$F$129,5,FALSE)</f>
        <v>71</v>
      </c>
      <c r="N808" s="14">
        <v>1</v>
      </c>
      <c r="O808" s="142">
        <f t="shared" si="25"/>
        <v>34.363999999999997</v>
      </c>
    </row>
    <row r="809" spans="1:15">
      <c r="A809" s="2" t="s">
        <v>1430</v>
      </c>
      <c r="B809" s="78" t="s">
        <v>1499</v>
      </c>
      <c r="C809" s="48" t="s">
        <v>565</v>
      </c>
      <c r="D809" s="14" t="s">
        <v>171</v>
      </c>
      <c r="E809" s="14" t="s">
        <v>44</v>
      </c>
      <c r="F809" s="14" t="s">
        <v>203</v>
      </c>
      <c r="G809" s="14" t="s">
        <v>164</v>
      </c>
      <c r="H809" s="5">
        <v>1</v>
      </c>
      <c r="I809" s="2" t="s">
        <v>571</v>
      </c>
      <c r="J809" s="2">
        <v>1</v>
      </c>
      <c r="K809" s="32">
        <f>VLOOKUP(E809,照明設備稼働時間!$A$4:$E$31,5,FALSE)</f>
        <v>242</v>
      </c>
      <c r="L809" s="32" t="str">
        <f t="shared" si="24"/>
        <v>FL20W1キッチン灯</v>
      </c>
      <c r="M809" s="14">
        <f>VLOOKUP(L809,照明器具一覧!$B$4:$F$129,5,FALSE)</f>
        <v>22</v>
      </c>
      <c r="N809" s="14">
        <v>1</v>
      </c>
      <c r="O809" s="142">
        <f t="shared" si="25"/>
        <v>5.3239999999999998</v>
      </c>
    </row>
    <row r="810" spans="1:15">
      <c r="A810" s="2" t="s">
        <v>1431</v>
      </c>
      <c r="B810" s="78" t="s">
        <v>1499</v>
      </c>
      <c r="C810" s="48" t="s">
        <v>295</v>
      </c>
      <c r="D810" s="14" t="s">
        <v>171</v>
      </c>
      <c r="E810" s="14" t="s">
        <v>600</v>
      </c>
      <c r="F810" s="14" t="s">
        <v>204</v>
      </c>
      <c r="G810" s="14" t="s">
        <v>21</v>
      </c>
      <c r="H810" s="5">
        <v>2</v>
      </c>
      <c r="I810" s="2" t="s">
        <v>509</v>
      </c>
      <c r="J810" s="2">
        <v>3</v>
      </c>
      <c r="K810" s="32">
        <f>VLOOKUP(E810,照明設備稼働時間!$A$4:$E$31,5,FALSE)</f>
        <v>2299</v>
      </c>
      <c r="L810" s="32" t="str">
        <f t="shared" si="24"/>
        <v>FHF32W2埋込W300</v>
      </c>
      <c r="M810" s="14">
        <f>VLOOKUP(L810,照明器具一覧!$B$4:$F$129,5,FALSE)</f>
        <v>71</v>
      </c>
      <c r="N810" s="14">
        <v>1</v>
      </c>
      <c r="O810" s="142">
        <f t="shared" si="25"/>
        <v>489.68700000000001</v>
      </c>
    </row>
    <row r="811" spans="1:15">
      <c r="A811" s="2" t="s">
        <v>1432</v>
      </c>
      <c r="B811" s="78" t="s">
        <v>1499</v>
      </c>
      <c r="C811" s="48" t="s">
        <v>283</v>
      </c>
      <c r="D811" s="14" t="s">
        <v>171</v>
      </c>
      <c r="E811" s="14" t="s">
        <v>600</v>
      </c>
      <c r="F811" s="14" t="s">
        <v>204</v>
      </c>
      <c r="G811" s="14" t="s">
        <v>21</v>
      </c>
      <c r="H811" s="5">
        <v>1</v>
      </c>
      <c r="I811" s="2" t="s">
        <v>511</v>
      </c>
      <c r="J811" s="2">
        <v>1</v>
      </c>
      <c r="K811" s="32">
        <f>VLOOKUP(E811,照明設備稼働時間!$A$4:$E$31,5,FALSE)</f>
        <v>2299</v>
      </c>
      <c r="L811" s="32" t="str">
        <f t="shared" si="24"/>
        <v>FHF32W1埋込W190</v>
      </c>
      <c r="M811" s="14">
        <f>VLOOKUP(L811,照明器具一覧!$B$4:$F$129,5,FALSE)</f>
        <v>36</v>
      </c>
      <c r="N811" s="14">
        <v>1</v>
      </c>
      <c r="O811" s="142">
        <f t="shared" si="25"/>
        <v>82.763999999999996</v>
      </c>
    </row>
    <row r="812" spans="1:15">
      <c r="A812" s="2" t="s">
        <v>1433</v>
      </c>
      <c r="B812" s="78" t="s">
        <v>1499</v>
      </c>
      <c r="C812" s="48" t="s">
        <v>287</v>
      </c>
      <c r="D812" s="14" t="s">
        <v>171</v>
      </c>
      <c r="E812" s="14" t="s">
        <v>600</v>
      </c>
      <c r="F812" s="29" t="s">
        <v>205</v>
      </c>
      <c r="G812" s="14" t="s">
        <v>21</v>
      </c>
      <c r="H812" s="5">
        <v>2</v>
      </c>
      <c r="I812" s="2" t="s">
        <v>56</v>
      </c>
      <c r="J812" s="2">
        <v>24</v>
      </c>
      <c r="K812" s="32">
        <f>VLOOKUP(E812,照明設備稼働時間!$A$4:$E$31,5,FALSE)</f>
        <v>2299</v>
      </c>
      <c r="L812" s="32" t="str">
        <f t="shared" si="24"/>
        <v>FHF32W2システム天井</v>
      </c>
      <c r="M812" s="14">
        <f>VLOOKUP(L812,照明器具一覧!$B$4:$F$129,5,FALSE)</f>
        <v>72</v>
      </c>
      <c r="N812" s="14">
        <v>1</v>
      </c>
      <c r="O812" s="142">
        <f t="shared" si="25"/>
        <v>3972.672</v>
      </c>
    </row>
    <row r="813" spans="1:15">
      <c r="A813" s="2" t="s">
        <v>1434</v>
      </c>
      <c r="B813" s="78" t="s">
        <v>1499</v>
      </c>
      <c r="C813" s="48" t="s">
        <v>287</v>
      </c>
      <c r="D813" s="14" t="s">
        <v>171</v>
      </c>
      <c r="E813" s="14" t="s">
        <v>600</v>
      </c>
      <c r="F813" s="29" t="s">
        <v>206</v>
      </c>
      <c r="G813" s="14" t="s">
        <v>21</v>
      </c>
      <c r="H813" s="5">
        <v>2</v>
      </c>
      <c r="I813" s="2" t="s">
        <v>56</v>
      </c>
      <c r="J813" s="2">
        <v>8</v>
      </c>
      <c r="K813" s="32">
        <f>VLOOKUP(E813,照明設備稼働時間!$A$4:$E$31,5,FALSE)</f>
        <v>2299</v>
      </c>
      <c r="L813" s="32" t="str">
        <f t="shared" si="24"/>
        <v>FHF32W2システム天井</v>
      </c>
      <c r="M813" s="14">
        <f>VLOOKUP(L813,照明器具一覧!$B$4:$F$129,5,FALSE)</f>
        <v>72</v>
      </c>
      <c r="N813" s="14">
        <v>1</v>
      </c>
      <c r="O813" s="142">
        <f t="shared" si="25"/>
        <v>1324.2239999999999</v>
      </c>
    </row>
    <row r="814" spans="1:15">
      <c r="A814" s="2" t="s">
        <v>1435</v>
      </c>
      <c r="B814" s="78" t="s">
        <v>1499</v>
      </c>
      <c r="C814" s="48" t="s">
        <v>287</v>
      </c>
      <c r="D814" s="14" t="s">
        <v>171</v>
      </c>
      <c r="E814" s="14" t="s">
        <v>600</v>
      </c>
      <c r="F814" s="29" t="s">
        <v>207</v>
      </c>
      <c r="G814" s="14" t="s">
        <v>21</v>
      </c>
      <c r="H814" s="5">
        <v>2</v>
      </c>
      <c r="I814" s="2" t="s">
        <v>56</v>
      </c>
      <c r="J814" s="2">
        <v>8</v>
      </c>
      <c r="K814" s="32">
        <f>VLOOKUP(E814,照明設備稼働時間!$A$4:$E$31,5,FALSE)</f>
        <v>2299</v>
      </c>
      <c r="L814" s="32" t="str">
        <f t="shared" si="24"/>
        <v>FHF32W2システム天井</v>
      </c>
      <c r="M814" s="14">
        <f>VLOOKUP(L814,照明器具一覧!$B$4:$F$129,5,FALSE)</f>
        <v>72</v>
      </c>
      <c r="N814" s="14">
        <v>1</v>
      </c>
      <c r="O814" s="142">
        <f t="shared" si="25"/>
        <v>1324.2239999999999</v>
      </c>
    </row>
    <row r="815" spans="1:15">
      <c r="A815" s="2" t="s">
        <v>1436</v>
      </c>
      <c r="B815" s="78" t="s">
        <v>1499</v>
      </c>
      <c r="C815" s="48" t="s">
        <v>289</v>
      </c>
      <c r="D815" s="14" t="s">
        <v>171</v>
      </c>
      <c r="E815" s="14" t="s">
        <v>44</v>
      </c>
      <c r="F815" s="29" t="s">
        <v>208</v>
      </c>
      <c r="G815" s="14" t="s">
        <v>21</v>
      </c>
      <c r="H815" s="5">
        <v>1</v>
      </c>
      <c r="I815" s="2" t="s">
        <v>89</v>
      </c>
      <c r="J815" s="2">
        <v>24</v>
      </c>
      <c r="K815" s="32">
        <f>VLOOKUP(E815,照明設備稼働時間!$A$4:$E$31,5,FALSE)</f>
        <v>242</v>
      </c>
      <c r="L815" s="32" t="str">
        <f t="shared" si="24"/>
        <v>FHF32W1トラフ</v>
      </c>
      <c r="M815" s="14">
        <f>VLOOKUP(L815,照明器具一覧!$B$4:$F$129,5,FALSE)</f>
        <v>36</v>
      </c>
      <c r="N815" s="14">
        <v>1</v>
      </c>
      <c r="O815" s="142">
        <f t="shared" si="25"/>
        <v>209.08799999999999</v>
      </c>
    </row>
    <row r="816" spans="1:15">
      <c r="A816" s="2" t="s">
        <v>1437</v>
      </c>
      <c r="B816" s="78" t="s">
        <v>1499</v>
      </c>
      <c r="C816" s="48" t="s">
        <v>290</v>
      </c>
      <c r="D816" s="14" t="s">
        <v>171</v>
      </c>
      <c r="E816" s="14" t="s">
        <v>44</v>
      </c>
      <c r="F816" s="29" t="s">
        <v>208</v>
      </c>
      <c r="G816" s="14" t="s">
        <v>21</v>
      </c>
      <c r="H816" s="5">
        <v>1</v>
      </c>
      <c r="I816" s="2" t="s">
        <v>89</v>
      </c>
      <c r="J816" s="2">
        <v>3</v>
      </c>
      <c r="K816" s="32">
        <f>VLOOKUP(E816,照明設備稼働時間!$A$4:$E$31,5,FALSE)</f>
        <v>242</v>
      </c>
      <c r="L816" s="32" t="str">
        <f t="shared" si="24"/>
        <v>FHF32W1トラフ</v>
      </c>
      <c r="M816" s="14">
        <f>VLOOKUP(L816,照明器具一覧!$B$4:$F$129,5,FALSE)</f>
        <v>36</v>
      </c>
      <c r="N816" s="14">
        <v>1</v>
      </c>
      <c r="O816" s="142">
        <f t="shared" si="25"/>
        <v>26.135999999999999</v>
      </c>
    </row>
    <row r="817" spans="1:15">
      <c r="A817" s="2" t="s">
        <v>1438</v>
      </c>
      <c r="B817" s="78" t="s">
        <v>1499</v>
      </c>
      <c r="C817" s="29"/>
      <c r="D817" s="14" t="s">
        <v>171</v>
      </c>
      <c r="E817" s="14" t="s">
        <v>44</v>
      </c>
      <c r="F817" s="29" t="s">
        <v>208</v>
      </c>
      <c r="G817" s="14" t="s">
        <v>218</v>
      </c>
      <c r="H817" s="5">
        <v>1</v>
      </c>
      <c r="I817" s="2" t="s">
        <v>219</v>
      </c>
      <c r="J817" s="2">
        <v>1</v>
      </c>
      <c r="K817" s="32">
        <f>VLOOKUP(E817,照明設備稼働時間!$A$4:$E$31,5,FALSE)</f>
        <v>242</v>
      </c>
      <c r="L817" s="32" t="str">
        <f t="shared" si="24"/>
        <v>IL40W1和風ブラケット</v>
      </c>
      <c r="M817" s="14">
        <f>VLOOKUP(L817,照明器具一覧!$B$4:$F$129,5,FALSE)</f>
        <v>40</v>
      </c>
      <c r="N817" s="14">
        <v>1</v>
      </c>
      <c r="O817" s="142">
        <f t="shared" si="25"/>
        <v>9.68</v>
      </c>
    </row>
    <row r="818" spans="1:15">
      <c r="A818" s="2" t="s">
        <v>1439</v>
      </c>
      <c r="B818" s="78" t="s">
        <v>1499</v>
      </c>
      <c r="C818" s="48" t="s">
        <v>289</v>
      </c>
      <c r="D818" s="14" t="s">
        <v>171</v>
      </c>
      <c r="E818" s="14" t="s">
        <v>44</v>
      </c>
      <c r="F818" s="29" t="s">
        <v>209</v>
      </c>
      <c r="G818" s="14" t="s">
        <v>21</v>
      </c>
      <c r="H818" s="5">
        <v>1</v>
      </c>
      <c r="I818" s="2" t="s">
        <v>89</v>
      </c>
      <c r="J818" s="2">
        <v>36</v>
      </c>
      <c r="K818" s="32">
        <f>VLOOKUP(E818,照明設備稼働時間!$A$4:$E$31,5,FALSE)</f>
        <v>242</v>
      </c>
      <c r="L818" s="32" t="str">
        <f t="shared" si="24"/>
        <v>FHF32W1トラフ</v>
      </c>
      <c r="M818" s="14">
        <f>VLOOKUP(L818,照明器具一覧!$B$4:$F$129,5,FALSE)</f>
        <v>36</v>
      </c>
      <c r="N818" s="14">
        <v>1</v>
      </c>
      <c r="O818" s="142">
        <f t="shared" si="25"/>
        <v>313.63200000000001</v>
      </c>
    </row>
    <row r="819" spans="1:15">
      <c r="A819" s="2" t="s">
        <v>1440</v>
      </c>
      <c r="B819" s="78" t="s">
        <v>1499</v>
      </c>
      <c r="C819" s="29"/>
      <c r="D819" s="29" t="s">
        <v>171</v>
      </c>
      <c r="E819" s="14" t="s">
        <v>44</v>
      </c>
      <c r="F819" s="29" t="s">
        <v>209</v>
      </c>
      <c r="G819" s="29" t="s">
        <v>218</v>
      </c>
      <c r="H819" s="5">
        <v>1</v>
      </c>
      <c r="I819" s="2" t="s">
        <v>219</v>
      </c>
      <c r="J819" s="2">
        <v>1</v>
      </c>
      <c r="K819" s="32">
        <f>VLOOKUP(E819,照明設備稼働時間!$A$4:$E$31,5,FALSE)</f>
        <v>242</v>
      </c>
      <c r="L819" s="32" t="str">
        <f t="shared" si="24"/>
        <v>IL40W1和風ブラケット</v>
      </c>
      <c r="M819" s="14">
        <f>VLOOKUP(L819,照明器具一覧!$B$4:$F$129,5,FALSE)</f>
        <v>40</v>
      </c>
      <c r="N819" s="14">
        <v>1</v>
      </c>
      <c r="O819" s="142">
        <f t="shared" si="25"/>
        <v>9.68</v>
      </c>
    </row>
    <row r="820" spans="1:15">
      <c r="A820" s="2" t="s">
        <v>1441</v>
      </c>
      <c r="B820" s="78" t="s">
        <v>1499</v>
      </c>
      <c r="C820" s="48" t="s">
        <v>295</v>
      </c>
      <c r="D820" s="14" t="s">
        <v>171</v>
      </c>
      <c r="E820" s="14" t="s">
        <v>600</v>
      </c>
      <c r="F820" s="29" t="s">
        <v>210</v>
      </c>
      <c r="G820" s="14" t="s">
        <v>21</v>
      </c>
      <c r="H820" s="5">
        <v>2</v>
      </c>
      <c r="I820" s="2" t="s">
        <v>509</v>
      </c>
      <c r="J820" s="2">
        <v>1</v>
      </c>
      <c r="K820" s="32">
        <f>VLOOKUP(E820,照明設備稼働時間!$A$4:$E$31,5,FALSE)</f>
        <v>2299</v>
      </c>
      <c r="L820" s="32" t="str">
        <f t="shared" si="24"/>
        <v>FHF32W2埋込W300</v>
      </c>
      <c r="M820" s="14">
        <f>VLOOKUP(L820,照明器具一覧!$B$4:$F$129,5,FALSE)</f>
        <v>71</v>
      </c>
      <c r="N820" s="14">
        <v>1</v>
      </c>
      <c r="O820" s="142">
        <f t="shared" si="25"/>
        <v>163.22900000000001</v>
      </c>
    </row>
    <row r="821" spans="1:15">
      <c r="A821" s="2" t="s">
        <v>1442</v>
      </c>
      <c r="B821" s="78" t="s">
        <v>1499</v>
      </c>
      <c r="C821" s="48" t="s">
        <v>295</v>
      </c>
      <c r="D821" s="14" t="s">
        <v>171</v>
      </c>
      <c r="E821" s="14" t="s">
        <v>600</v>
      </c>
      <c r="F821" s="29" t="s">
        <v>211</v>
      </c>
      <c r="G821" s="14" t="s">
        <v>21</v>
      </c>
      <c r="H821" s="5">
        <v>2</v>
      </c>
      <c r="I821" s="2" t="s">
        <v>509</v>
      </c>
      <c r="J821" s="2">
        <v>2</v>
      </c>
      <c r="K821" s="32">
        <f>VLOOKUP(E821,照明設備稼働時間!$A$4:$E$31,5,FALSE)</f>
        <v>2299</v>
      </c>
      <c r="L821" s="32" t="str">
        <f t="shared" si="24"/>
        <v>FHF32W2埋込W300</v>
      </c>
      <c r="M821" s="14">
        <f>VLOOKUP(L821,照明器具一覧!$B$4:$F$129,5,FALSE)</f>
        <v>71</v>
      </c>
      <c r="N821" s="14">
        <v>1</v>
      </c>
      <c r="O821" s="142">
        <f t="shared" si="25"/>
        <v>326.45800000000003</v>
      </c>
    </row>
    <row r="822" spans="1:15">
      <c r="A822" s="2" t="s">
        <v>1443</v>
      </c>
      <c r="B822" s="78" t="s">
        <v>1499</v>
      </c>
      <c r="C822" s="48" t="s">
        <v>295</v>
      </c>
      <c r="D822" s="14" t="s">
        <v>171</v>
      </c>
      <c r="E822" s="14" t="s">
        <v>600</v>
      </c>
      <c r="F822" s="29" t="s">
        <v>212</v>
      </c>
      <c r="G822" s="14" t="s">
        <v>21</v>
      </c>
      <c r="H822" s="5">
        <v>2</v>
      </c>
      <c r="I822" s="2" t="s">
        <v>509</v>
      </c>
      <c r="J822" s="2">
        <v>2</v>
      </c>
      <c r="K822" s="32">
        <f>VLOOKUP(E822,照明設備稼働時間!$A$4:$E$31,5,FALSE)</f>
        <v>2299</v>
      </c>
      <c r="L822" s="32" t="str">
        <f t="shared" si="24"/>
        <v>FHF32W2埋込W300</v>
      </c>
      <c r="M822" s="14">
        <f>VLOOKUP(L822,照明器具一覧!$B$4:$F$129,5,FALSE)</f>
        <v>71</v>
      </c>
      <c r="N822" s="14">
        <v>1</v>
      </c>
      <c r="O822" s="142">
        <f t="shared" si="25"/>
        <v>326.45800000000003</v>
      </c>
    </row>
    <row r="823" spans="1:15">
      <c r="A823" s="2" t="s">
        <v>1444</v>
      </c>
      <c r="B823" s="78" t="s">
        <v>1499</v>
      </c>
      <c r="C823" s="48" t="s">
        <v>295</v>
      </c>
      <c r="D823" s="14" t="s">
        <v>171</v>
      </c>
      <c r="E823" s="14" t="s">
        <v>600</v>
      </c>
      <c r="F823" s="29" t="s">
        <v>213</v>
      </c>
      <c r="G823" s="14" t="s">
        <v>21</v>
      </c>
      <c r="H823" s="5">
        <v>2</v>
      </c>
      <c r="I823" s="2" t="s">
        <v>509</v>
      </c>
      <c r="J823" s="2">
        <v>4</v>
      </c>
      <c r="K823" s="32">
        <f>VLOOKUP(E823,照明設備稼働時間!$A$4:$E$31,5,FALSE)</f>
        <v>2299</v>
      </c>
      <c r="L823" s="32" t="str">
        <f t="shared" si="24"/>
        <v>FHF32W2埋込W300</v>
      </c>
      <c r="M823" s="14">
        <f>VLOOKUP(L823,照明器具一覧!$B$4:$F$129,5,FALSE)</f>
        <v>71</v>
      </c>
      <c r="N823" s="14">
        <v>1</v>
      </c>
      <c r="O823" s="142">
        <f t="shared" si="25"/>
        <v>652.91600000000005</v>
      </c>
    </row>
    <row r="824" spans="1:15">
      <c r="A824" s="2" t="s">
        <v>1445</v>
      </c>
      <c r="B824" s="78" t="s">
        <v>1499</v>
      </c>
      <c r="C824" s="48" t="s">
        <v>295</v>
      </c>
      <c r="D824" s="14" t="s">
        <v>171</v>
      </c>
      <c r="E824" s="14" t="s">
        <v>600</v>
      </c>
      <c r="F824" s="29" t="s">
        <v>214</v>
      </c>
      <c r="G824" s="14" t="s">
        <v>21</v>
      </c>
      <c r="H824" s="5">
        <v>2</v>
      </c>
      <c r="I824" s="2" t="s">
        <v>509</v>
      </c>
      <c r="J824" s="2">
        <v>6</v>
      </c>
      <c r="K824" s="32">
        <f>VLOOKUP(E824,照明設備稼働時間!$A$4:$E$31,5,FALSE)</f>
        <v>2299</v>
      </c>
      <c r="L824" s="32" t="str">
        <f t="shared" si="24"/>
        <v>FHF32W2埋込W300</v>
      </c>
      <c r="M824" s="14">
        <f>VLOOKUP(L824,照明器具一覧!$B$4:$F$129,5,FALSE)</f>
        <v>71</v>
      </c>
      <c r="N824" s="14">
        <v>1</v>
      </c>
      <c r="O824" s="142">
        <f t="shared" si="25"/>
        <v>979.37400000000002</v>
      </c>
    </row>
    <row r="825" spans="1:15">
      <c r="A825" s="2" t="s">
        <v>1446</v>
      </c>
      <c r="B825" s="78" t="s">
        <v>1499</v>
      </c>
      <c r="C825" s="29" t="s">
        <v>566</v>
      </c>
      <c r="D825" s="14" t="s">
        <v>171</v>
      </c>
      <c r="E825" s="14" t="s">
        <v>600</v>
      </c>
      <c r="F825" s="29" t="s">
        <v>215</v>
      </c>
      <c r="G825" s="14" t="s">
        <v>21</v>
      </c>
      <c r="H825" s="5">
        <v>2</v>
      </c>
      <c r="I825" s="2" t="s">
        <v>509</v>
      </c>
      <c r="J825" s="2">
        <v>1</v>
      </c>
      <c r="K825" s="32">
        <f>VLOOKUP(E825,照明設備稼働時間!$A$4:$E$31,5,FALSE)</f>
        <v>2299</v>
      </c>
      <c r="L825" s="32" t="str">
        <f t="shared" si="24"/>
        <v>FHF32W2埋込W300</v>
      </c>
      <c r="M825" s="14">
        <f>VLOOKUP(L825,照明器具一覧!$B$4:$F$129,5,FALSE)</f>
        <v>71</v>
      </c>
      <c r="N825" s="14">
        <v>1</v>
      </c>
      <c r="O825" s="142">
        <f t="shared" si="25"/>
        <v>163.22900000000001</v>
      </c>
    </row>
    <row r="826" spans="1:15">
      <c r="A826" s="2" t="s">
        <v>1447</v>
      </c>
      <c r="B826" s="78" t="s">
        <v>1499</v>
      </c>
      <c r="C826" s="29" t="s">
        <v>567</v>
      </c>
      <c r="D826" s="14" t="s">
        <v>171</v>
      </c>
      <c r="E826" s="14" t="s">
        <v>600</v>
      </c>
      <c r="F826" s="29" t="s">
        <v>215</v>
      </c>
      <c r="G826" s="14" t="s">
        <v>21</v>
      </c>
      <c r="H826" s="5">
        <v>1</v>
      </c>
      <c r="I826" s="2" t="s">
        <v>511</v>
      </c>
      <c r="J826" s="2">
        <v>1</v>
      </c>
      <c r="K826" s="32">
        <f>VLOOKUP(E826,照明設備稼働時間!$A$4:$E$31,5,FALSE)</f>
        <v>2299</v>
      </c>
      <c r="L826" s="32" t="str">
        <f t="shared" si="24"/>
        <v>FHF32W1埋込W190</v>
      </c>
      <c r="M826" s="14">
        <f>VLOOKUP(L826,照明器具一覧!$B$4:$F$129,5,FALSE)</f>
        <v>36</v>
      </c>
      <c r="N826" s="14">
        <v>1</v>
      </c>
      <c r="O826" s="142">
        <f t="shared" si="25"/>
        <v>82.763999999999996</v>
      </c>
    </row>
    <row r="827" spans="1:15">
      <c r="A827" s="2" t="s">
        <v>1448</v>
      </c>
      <c r="B827" s="78" t="s">
        <v>1499</v>
      </c>
      <c r="C827" s="48" t="s">
        <v>568</v>
      </c>
      <c r="D827" s="14" t="s">
        <v>171</v>
      </c>
      <c r="E827" s="14" t="s">
        <v>600</v>
      </c>
      <c r="F827" s="29" t="s">
        <v>216</v>
      </c>
      <c r="G827" s="14" t="s">
        <v>21</v>
      </c>
      <c r="H827" s="5">
        <v>2</v>
      </c>
      <c r="I827" s="2" t="s">
        <v>572</v>
      </c>
      <c r="J827" s="2">
        <v>10</v>
      </c>
      <c r="K827" s="32">
        <f>VLOOKUP(E827,照明設備稼働時間!$A$4:$E$31,5,FALSE)</f>
        <v>2299</v>
      </c>
      <c r="L827" s="32" t="str">
        <f t="shared" si="24"/>
        <v>FHF32W2直付下面開放</v>
      </c>
      <c r="M827" s="14">
        <f>VLOOKUP(L827,照明器具一覧!$B$4:$F$129,5,FALSE)</f>
        <v>72</v>
      </c>
      <c r="N827" s="14">
        <v>1</v>
      </c>
      <c r="O827" s="142">
        <f t="shared" si="25"/>
        <v>1655.28</v>
      </c>
    </row>
    <row r="828" spans="1:15">
      <c r="A828" s="2" t="s">
        <v>1449</v>
      </c>
      <c r="B828" s="78" t="s">
        <v>1499</v>
      </c>
      <c r="C828" s="29" t="s">
        <v>67</v>
      </c>
      <c r="D828" s="29" t="s">
        <v>220</v>
      </c>
      <c r="E828" s="29" t="s">
        <v>77</v>
      </c>
      <c r="F828" s="29" t="s">
        <v>57</v>
      </c>
      <c r="G828" s="14" t="s">
        <v>97</v>
      </c>
      <c r="H828" s="5">
        <v>1</v>
      </c>
      <c r="I828" s="2" t="s">
        <v>594</v>
      </c>
      <c r="J828" s="2">
        <v>1</v>
      </c>
      <c r="K828" s="32">
        <f>VLOOKUP(E828,照明設備稼働時間!$A$4:$E$31,5,FALSE)</f>
        <v>8760</v>
      </c>
      <c r="L828" s="32" t="str">
        <f t="shared" si="24"/>
        <v>CF2.2W1誘導灯C級片面</v>
      </c>
      <c r="M828" s="14">
        <f>VLOOKUP(L828,照明器具一覧!$B$4:$F$129,5,FALSE)</f>
        <v>4</v>
      </c>
      <c r="N828" s="14">
        <v>1</v>
      </c>
      <c r="O828" s="142">
        <f t="shared" si="25"/>
        <v>35.04</v>
      </c>
    </row>
    <row r="829" spans="1:15">
      <c r="A829" s="2" t="s">
        <v>1450</v>
      </c>
      <c r="B829" s="78" t="s">
        <v>1499</v>
      </c>
      <c r="C829" s="29" t="s">
        <v>69</v>
      </c>
      <c r="D829" s="29" t="s">
        <v>220</v>
      </c>
      <c r="E829" s="29" t="s">
        <v>77</v>
      </c>
      <c r="F829" s="29" t="s">
        <v>39</v>
      </c>
      <c r="G829" s="14" t="s">
        <v>97</v>
      </c>
      <c r="H829" s="5">
        <v>1</v>
      </c>
      <c r="I829" s="2" t="s">
        <v>594</v>
      </c>
      <c r="J829" s="2">
        <v>1</v>
      </c>
      <c r="K829" s="32">
        <f>VLOOKUP(E829,照明設備稼働時間!$A$4:$E$31,5,FALSE)</f>
        <v>8760</v>
      </c>
      <c r="L829" s="32" t="str">
        <f t="shared" si="24"/>
        <v>CF2.2W1誘導灯C級片面</v>
      </c>
      <c r="M829" s="14">
        <f>VLOOKUP(L829,照明器具一覧!$B$4:$F$129,5,FALSE)</f>
        <v>4</v>
      </c>
      <c r="N829" s="14">
        <v>1</v>
      </c>
      <c r="O829" s="142">
        <f t="shared" si="25"/>
        <v>35.04</v>
      </c>
    </row>
    <row r="830" spans="1:15">
      <c r="A830" s="2" t="s">
        <v>1451</v>
      </c>
      <c r="B830" s="78" t="s">
        <v>1499</v>
      </c>
      <c r="C830" s="29" t="s">
        <v>67</v>
      </c>
      <c r="D830" s="29" t="s">
        <v>220</v>
      </c>
      <c r="E830" s="29" t="s">
        <v>77</v>
      </c>
      <c r="F830" s="29" t="s">
        <v>45</v>
      </c>
      <c r="G830" s="14" t="s">
        <v>97</v>
      </c>
      <c r="H830" s="5">
        <v>1</v>
      </c>
      <c r="I830" s="2" t="s">
        <v>594</v>
      </c>
      <c r="J830" s="2">
        <v>1</v>
      </c>
      <c r="K830" s="32">
        <f>VLOOKUP(E830,照明設備稼働時間!$A$4:$E$31,5,FALSE)</f>
        <v>8760</v>
      </c>
      <c r="L830" s="32" t="str">
        <f t="shared" si="24"/>
        <v>CF2.2W1誘導灯C級片面</v>
      </c>
      <c r="M830" s="14">
        <f>VLOOKUP(L830,照明器具一覧!$B$4:$F$129,5,FALSE)</f>
        <v>4</v>
      </c>
      <c r="N830" s="14">
        <v>1</v>
      </c>
      <c r="O830" s="142">
        <f t="shared" si="25"/>
        <v>35.04</v>
      </c>
    </row>
    <row r="831" spans="1:15">
      <c r="A831" s="2" t="s">
        <v>1452</v>
      </c>
      <c r="B831" s="78" t="s">
        <v>1499</v>
      </c>
      <c r="C831" s="29" t="s">
        <v>68</v>
      </c>
      <c r="D831" s="29" t="s">
        <v>171</v>
      </c>
      <c r="E831" s="29" t="s">
        <v>77</v>
      </c>
      <c r="F831" s="29" t="s">
        <v>45</v>
      </c>
      <c r="G831" s="14" t="s">
        <v>98</v>
      </c>
      <c r="H831" s="5">
        <v>1</v>
      </c>
      <c r="I831" s="2" t="s">
        <v>594</v>
      </c>
      <c r="J831" s="2">
        <v>1</v>
      </c>
      <c r="K831" s="32">
        <f>VLOOKUP(E831,照明設備稼働時間!$A$4:$E$31,5,FALSE)</f>
        <v>8760</v>
      </c>
      <c r="L831" s="32" t="str">
        <f t="shared" si="24"/>
        <v>CF2W1誘導灯C級片面</v>
      </c>
      <c r="M831" s="14">
        <f>VLOOKUP(L831,照明器具一覧!$B$4:$F$129,5,FALSE)</f>
        <v>4</v>
      </c>
      <c r="N831" s="14">
        <v>1</v>
      </c>
      <c r="O831" s="142">
        <f t="shared" si="25"/>
        <v>35.04</v>
      </c>
    </row>
    <row r="832" spans="1:15">
      <c r="A832" s="2" t="s">
        <v>1453</v>
      </c>
      <c r="B832" s="78" t="s">
        <v>1499</v>
      </c>
      <c r="C832" s="29" t="s">
        <v>67</v>
      </c>
      <c r="D832" s="29" t="s">
        <v>171</v>
      </c>
      <c r="E832" s="29" t="s">
        <v>77</v>
      </c>
      <c r="F832" s="29" t="s">
        <v>65</v>
      </c>
      <c r="G832" s="14" t="s">
        <v>97</v>
      </c>
      <c r="H832" s="5">
        <v>1</v>
      </c>
      <c r="I832" s="2" t="s">
        <v>594</v>
      </c>
      <c r="J832" s="2">
        <v>1</v>
      </c>
      <c r="K832" s="32">
        <f>VLOOKUP(E832,照明設備稼働時間!$A$4:$E$31,5,FALSE)</f>
        <v>8760</v>
      </c>
      <c r="L832" s="32" t="str">
        <f t="shared" si="24"/>
        <v>CF2.2W1誘導灯C級片面</v>
      </c>
      <c r="M832" s="14">
        <f>VLOOKUP(L832,照明器具一覧!$B$4:$F$129,5,FALSE)</f>
        <v>4</v>
      </c>
      <c r="N832" s="14">
        <v>1</v>
      </c>
      <c r="O832" s="142">
        <f t="shared" si="25"/>
        <v>35.04</v>
      </c>
    </row>
    <row r="833" spans="1:15">
      <c r="A833" s="2" t="s">
        <v>1454</v>
      </c>
      <c r="B833" s="78" t="s">
        <v>1499</v>
      </c>
      <c r="C833" s="29" t="s">
        <v>69</v>
      </c>
      <c r="D833" s="29" t="s">
        <v>171</v>
      </c>
      <c r="E833" s="29" t="s">
        <v>77</v>
      </c>
      <c r="F833" s="29" t="s">
        <v>49</v>
      </c>
      <c r="G833" s="14" t="s">
        <v>97</v>
      </c>
      <c r="H833" s="5">
        <v>1</v>
      </c>
      <c r="I833" s="2" t="s">
        <v>594</v>
      </c>
      <c r="J833" s="2">
        <v>1</v>
      </c>
      <c r="K833" s="32">
        <f>VLOOKUP(E833,照明設備稼働時間!$A$4:$E$31,5,FALSE)</f>
        <v>8760</v>
      </c>
      <c r="L833" s="32" t="str">
        <f t="shared" si="24"/>
        <v>CF2.2W1誘導灯C級片面</v>
      </c>
      <c r="M833" s="14">
        <f>VLOOKUP(L833,照明器具一覧!$B$4:$F$129,5,FALSE)</f>
        <v>4</v>
      </c>
      <c r="N833" s="14">
        <v>1</v>
      </c>
      <c r="O833" s="142">
        <f t="shared" si="25"/>
        <v>35.04</v>
      </c>
    </row>
    <row r="834" spans="1:15">
      <c r="A834" s="2" t="s">
        <v>1455</v>
      </c>
      <c r="B834" s="78" t="s">
        <v>1499</v>
      </c>
      <c r="C834" s="29" t="s">
        <v>67</v>
      </c>
      <c r="D834" s="29" t="s">
        <v>171</v>
      </c>
      <c r="E834" s="29" t="s">
        <v>77</v>
      </c>
      <c r="F834" s="29" t="s">
        <v>23</v>
      </c>
      <c r="G834" s="14" t="s">
        <v>97</v>
      </c>
      <c r="H834" s="5">
        <v>1</v>
      </c>
      <c r="I834" s="2" t="s">
        <v>594</v>
      </c>
      <c r="J834" s="2">
        <v>1</v>
      </c>
      <c r="K834" s="32">
        <f>VLOOKUP(E834,照明設備稼働時間!$A$4:$E$31,5,FALSE)</f>
        <v>8760</v>
      </c>
      <c r="L834" s="32" t="str">
        <f t="shared" si="24"/>
        <v>CF2.2W1誘導灯C級片面</v>
      </c>
      <c r="M834" s="14">
        <f>VLOOKUP(L834,照明器具一覧!$B$4:$F$129,5,FALSE)</f>
        <v>4</v>
      </c>
      <c r="N834" s="14">
        <v>1</v>
      </c>
      <c r="O834" s="142">
        <f t="shared" si="25"/>
        <v>35.04</v>
      </c>
    </row>
    <row r="835" spans="1:15">
      <c r="A835" s="2" t="s">
        <v>1456</v>
      </c>
      <c r="B835" s="78" t="s">
        <v>1499</v>
      </c>
      <c r="C835" s="29" t="s">
        <v>68</v>
      </c>
      <c r="D835" s="29" t="s">
        <v>171</v>
      </c>
      <c r="E835" s="29" t="s">
        <v>77</v>
      </c>
      <c r="F835" s="29" t="s">
        <v>23</v>
      </c>
      <c r="G835" s="14" t="s">
        <v>98</v>
      </c>
      <c r="H835" s="5">
        <v>1</v>
      </c>
      <c r="I835" s="2" t="s">
        <v>594</v>
      </c>
      <c r="J835" s="2">
        <v>1</v>
      </c>
      <c r="K835" s="32">
        <f>VLOOKUP(E835,照明設備稼働時間!$A$4:$E$31,5,FALSE)</f>
        <v>8760</v>
      </c>
      <c r="L835" s="32" t="str">
        <f t="shared" si="24"/>
        <v>CF2W1誘導灯C級片面</v>
      </c>
      <c r="M835" s="14">
        <f>VLOOKUP(L835,照明器具一覧!$B$4:$F$129,5,FALSE)</f>
        <v>4</v>
      </c>
      <c r="N835" s="14">
        <v>1</v>
      </c>
      <c r="O835" s="142">
        <f t="shared" si="25"/>
        <v>35.04</v>
      </c>
    </row>
    <row r="836" spans="1:15">
      <c r="A836" s="2" t="s">
        <v>1457</v>
      </c>
      <c r="B836" s="78" t="s">
        <v>1499</v>
      </c>
      <c r="C836" s="29" t="s">
        <v>221</v>
      </c>
      <c r="D836" s="14" t="s">
        <v>171</v>
      </c>
      <c r="E836" s="29" t="s">
        <v>77</v>
      </c>
      <c r="F836" s="14" t="s">
        <v>109</v>
      </c>
      <c r="G836" s="14" t="s">
        <v>224</v>
      </c>
      <c r="H836" s="5">
        <v>1</v>
      </c>
      <c r="I836" s="2" t="s">
        <v>596</v>
      </c>
      <c r="J836" s="2">
        <v>1</v>
      </c>
      <c r="K836" s="32">
        <f>VLOOKUP(E836,照明設備稼働時間!$A$4:$E$31,5,FALSE)</f>
        <v>8760</v>
      </c>
      <c r="L836" s="32" t="str">
        <f t="shared" ref="L836:L876" si="26">G836&amp;H836&amp;I836</f>
        <v>CF3W1誘導灯B級BL片面</v>
      </c>
      <c r="M836" s="14">
        <f>VLOOKUP(L836,照明器具一覧!$B$4:$F$129,5,FALSE)</f>
        <v>6</v>
      </c>
      <c r="N836" s="14">
        <v>1</v>
      </c>
      <c r="O836" s="142">
        <f t="shared" si="25"/>
        <v>52.56</v>
      </c>
    </row>
    <row r="837" spans="1:15">
      <c r="A837" s="2" t="s">
        <v>1458</v>
      </c>
      <c r="B837" s="78" t="s">
        <v>1499</v>
      </c>
      <c r="C837" s="29" t="s">
        <v>221</v>
      </c>
      <c r="D837" s="14" t="s">
        <v>171</v>
      </c>
      <c r="E837" s="29" t="s">
        <v>77</v>
      </c>
      <c r="F837" s="14" t="s">
        <v>190</v>
      </c>
      <c r="G837" s="14" t="s">
        <v>224</v>
      </c>
      <c r="H837" s="5">
        <v>1</v>
      </c>
      <c r="I837" s="2" t="s">
        <v>596</v>
      </c>
      <c r="J837" s="2">
        <v>2</v>
      </c>
      <c r="K837" s="32">
        <f>VLOOKUP(E837,照明設備稼働時間!$A$4:$E$31,5,FALSE)</f>
        <v>8760</v>
      </c>
      <c r="L837" s="32" t="str">
        <f t="shared" si="26"/>
        <v>CF3W1誘導灯B級BL片面</v>
      </c>
      <c r="M837" s="14">
        <f>VLOOKUP(L837,照明器具一覧!$B$4:$F$129,5,FALSE)</f>
        <v>6</v>
      </c>
      <c r="N837" s="14">
        <v>1</v>
      </c>
      <c r="O837" s="142">
        <f t="shared" ref="O837:O876" si="27">(M837*J837*K837*N837)/1000</f>
        <v>105.12</v>
      </c>
    </row>
    <row r="838" spans="1:15">
      <c r="A838" s="2" t="s">
        <v>1459</v>
      </c>
      <c r="B838" s="78" t="s">
        <v>1499</v>
      </c>
      <c r="C838" s="29" t="s">
        <v>221</v>
      </c>
      <c r="D838" s="14" t="s">
        <v>171</v>
      </c>
      <c r="E838" s="29" t="s">
        <v>77</v>
      </c>
      <c r="F838" s="29" t="s">
        <v>192</v>
      </c>
      <c r="G838" s="14" t="s">
        <v>224</v>
      </c>
      <c r="H838" s="5">
        <v>1</v>
      </c>
      <c r="I838" s="2" t="s">
        <v>596</v>
      </c>
      <c r="J838" s="2">
        <v>1</v>
      </c>
      <c r="K838" s="32">
        <f>VLOOKUP(E838,照明設備稼働時間!$A$4:$E$31,5,FALSE)</f>
        <v>8760</v>
      </c>
      <c r="L838" s="32" t="str">
        <f t="shared" si="26"/>
        <v>CF3W1誘導灯B級BL片面</v>
      </c>
      <c r="M838" s="14">
        <f>VLOOKUP(L838,照明器具一覧!$B$4:$F$129,5,FALSE)</f>
        <v>6</v>
      </c>
      <c r="N838" s="14">
        <v>1</v>
      </c>
      <c r="O838" s="142">
        <f t="shared" si="27"/>
        <v>52.56</v>
      </c>
    </row>
    <row r="839" spans="1:15">
      <c r="A839" s="2" t="s">
        <v>1460</v>
      </c>
      <c r="B839" s="78" t="s">
        <v>1499</v>
      </c>
      <c r="C839" s="29" t="s">
        <v>67</v>
      </c>
      <c r="D839" s="14" t="s">
        <v>171</v>
      </c>
      <c r="E839" s="29" t="s">
        <v>77</v>
      </c>
      <c r="F839" s="29" t="s">
        <v>193</v>
      </c>
      <c r="G839" s="14" t="s">
        <v>97</v>
      </c>
      <c r="H839" s="5">
        <v>1</v>
      </c>
      <c r="I839" s="2" t="s">
        <v>594</v>
      </c>
      <c r="J839" s="2">
        <v>1</v>
      </c>
      <c r="K839" s="32">
        <f>VLOOKUP(E839,照明設備稼働時間!$A$4:$E$31,5,FALSE)</f>
        <v>8760</v>
      </c>
      <c r="L839" s="32" t="str">
        <f t="shared" si="26"/>
        <v>CF2.2W1誘導灯C級片面</v>
      </c>
      <c r="M839" s="14">
        <f>VLOOKUP(L839,照明器具一覧!$B$4:$F$129,5,FALSE)</f>
        <v>4</v>
      </c>
      <c r="N839" s="14">
        <v>1</v>
      </c>
      <c r="O839" s="142">
        <f t="shared" si="27"/>
        <v>35.04</v>
      </c>
    </row>
    <row r="840" spans="1:15">
      <c r="A840" s="2" t="s">
        <v>1461</v>
      </c>
      <c r="B840" s="78" t="s">
        <v>1499</v>
      </c>
      <c r="C840" s="29" t="s">
        <v>69</v>
      </c>
      <c r="D840" s="14" t="s">
        <v>171</v>
      </c>
      <c r="E840" s="29" t="s">
        <v>77</v>
      </c>
      <c r="F840" s="29" t="s">
        <v>222</v>
      </c>
      <c r="G840" s="14" t="s">
        <v>97</v>
      </c>
      <c r="H840" s="5">
        <v>1</v>
      </c>
      <c r="I840" s="2" t="s">
        <v>594</v>
      </c>
      <c r="J840" s="2">
        <v>1</v>
      </c>
      <c r="K840" s="32">
        <f>VLOOKUP(E840,照明設備稼働時間!$A$4:$E$31,5,FALSE)</f>
        <v>8760</v>
      </c>
      <c r="L840" s="32" t="str">
        <f t="shared" si="26"/>
        <v>CF2.2W1誘導灯C級片面</v>
      </c>
      <c r="M840" s="14">
        <f>VLOOKUP(L840,照明器具一覧!$B$4:$F$129,5,FALSE)</f>
        <v>4</v>
      </c>
      <c r="N840" s="14">
        <v>1</v>
      </c>
      <c r="O840" s="142">
        <f t="shared" si="27"/>
        <v>35.04</v>
      </c>
    </row>
    <row r="841" spans="1:15">
      <c r="A841" s="2" t="s">
        <v>1462</v>
      </c>
      <c r="B841" s="78" t="s">
        <v>1499</v>
      </c>
      <c r="C841" s="29" t="s">
        <v>68</v>
      </c>
      <c r="D841" s="14" t="s">
        <v>171</v>
      </c>
      <c r="E841" s="29" t="s">
        <v>77</v>
      </c>
      <c r="F841" s="29" t="s">
        <v>222</v>
      </c>
      <c r="G841" s="14" t="s">
        <v>98</v>
      </c>
      <c r="H841" s="5">
        <v>1</v>
      </c>
      <c r="I841" s="2" t="s">
        <v>594</v>
      </c>
      <c r="J841" s="2">
        <v>1</v>
      </c>
      <c r="K841" s="32">
        <f>VLOOKUP(E841,照明設備稼働時間!$A$4:$E$31,5,FALSE)</f>
        <v>8760</v>
      </c>
      <c r="L841" s="32" t="str">
        <f t="shared" si="26"/>
        <v>CF2W1誘導灯C級片面</v>
      </c>
      <c r="M841" s="14">
        <f>VLOOKUP(L841,照明器具一覧!$B$4:$F$129,5,FALSE)</f>
        <v>4</v>
      </c>
      <c r="N841" s="14">
        <v>1</v>
      </c>
      <c r="O841" s="142">
        <f t="shared" si="27"/>
        <v>35.04</v>
      </c>
    </row>
    <row r="842" spans="1:15">
      <c r="A842" s="2" t="s">
        <v>1463</v>
      </c>
      <c r="B842" s="78" t="s">
        <v>1499</v>
      </c>
      <c r="C842" s="29" t="s">
        <v>67</v>
      </c>
      <c r="D842" s="14" t="s">
        <v>171</v>
      </c>
      <c r="E842" s="29" t="s">
        <v>77</v>
      </c>
      <c r="F842" s="29" t="s">
        <v>223</v>
      </c>
      <c r="G842" s="14" t="s">
        <v>97</v>
      </c>
      <c r="H842" s="5">
        <v>1</v>
      </c>
      <c r="I842" s="2" t="s">
        <v>594</v>
      </c>
      <c r="J842" s="2">
        <v>1</v>
      </c>
      <c r="K842" s="32">
        <f>VLOOKUP(E842,照明設備稼働時間!$A$4:$E$31,5,FALSE)</f>
        <v>8760</v>
      </c>
      <c r="L842" s="32" t="str">
        <f t="shared" si="26"/>
        <v>CF2.2W1誘導灯C級片面</v>
      </c>
      <c r="M842" s="14">
        <f>VLOOKUP(L842,照明器具一覧!$B$4:$F$129,5,FALSE)</f>
        <v>4</v>
      </c>
      <c r="N842" s="14">
        <v>1</v>
      </c>
      <c r="O842" s="142">
        <f t="shared" si="27"/>
        <v>35.04</v>
      </c>
    </row>
    <row r="843" spans="1:15">
      <c r="A843" s="2" t="s">
        <v>1464</v>
      </c>
      <c r="B843" s="78" t="s">
        <v>1499</v>
      </c>
      <c r="C843" s="29" t="s">
        <v>67</v>
      </c>
      <c r="D843" s="14" t="s">
        <v>171</v>
      </c>
      <c r="E843" s="29" t="s">
        <v>77</v>
      </c>
      <c r="F843" s="14" t="s">
        <v>199</v>
      </c>
      <c r="G843" s="14" t="s">
        <v>97</v>
      </c>
      <c r="H843" s="5">
        <v>1</v>
      </c>
      <c r="I843" s="2" t="s">
        <v>594</v>
      </c>
      <c r="J843" s="2">
        <v>1</v>
      </c>
      <c r="K843" s="32">
        <f>VLOOKUP(E843,照明設備稼働時間!$A$4:$E$31,5,FALSE)</f>
        <v>8760</v>
      </c>
      <c r="L843" s="32" t="str">
        <f t="shared" si="26"/>
        <v>CF2.2W1誘導灯C級片面</v>
      </c>
      <c r="M843" s="14">
        <f>VLOOKUP(L843,照明器具一覧!$B$4:$F$129,5,FALSE)</f>
        <v>4</v>
      </c>
      <c r="N843" s="14">
        <v>1</v>
      </c>
      <c r="O843" s="142">
        <f t="shared" si="27"/>
        <v>35.04</v>
      </c>
    </row>
    <row r="844" spans="1:15">
      <c r="A844" s="2" t="s">
        <v>1465</v>
      </c>
      <c r="B844" s="78" t="s">
        <v>1499</v>
      </c>
      <c r="C844" s="29" t="s">
        <v>68</v>
      </c>
      <c r="D844" s="14" t="s">
        <v>171</v>
      </c>
      <c r="E844" s="29" t="s">
        <v>77</v>
      </c>
      <c r="F844" s="14" t="s">
        <v>11</v>
      </c>
      <c r="G844" s="14" t="s">
        <v>98</v>
      </c>
      <c r="H844" s="5">
        <v>1</v>
      </c>
      <c r="I844" s="2" t="s">
        <v>594</v>
      </c>
      <c r="J844" s="2">
        <v>10</v>
      </c>
      <c r="K844" s="32">
        <f>VLOOKUP(E844,照明設備稼働時間!$A$4:$E$31,5,FALSE)</f>
        <v>8760</v>
      </c>
      <c r="L844" s="32" t="str">
        <f t="shared" si="26"/>
        <v>CF2W1誘導灯C級片面</v>
      </c>
      <c r="M844" s="14">
        <f>VLOOKUP(L844,照明器具一覧!$B$4:$F$129,5,FALSE)</f>
        <v>4</v>
      </c>
      <c r="N844" s="14">
        <v>1</v>
      </c>
      <c r="O844" s="142">
        <f t="shared" si="27"/>
        <v>350.4</v>
      </c>
    </row>
    <row r="845" spans="1:15">
      <c r="A845" s="2" t="s">
        <v>1466</v>
      </c>
      <c r="B845" s="78" t="s">
        <v>1499</v>
      </c>
      <c r="C845" s="29" t="s">
        <v>69</v>
      </c>
      <c r="D845" s="14" t="s">
        <v>171</v>
      </c>
      <c r="E845" s="29" t="s">
        <v>77</v>
      </c>
      <c r="F845" s="14" t="s">
        <v>11</v>
      </c>
      <c r="G845" s="14" t="s">
        <v>97</v>
      </c>
      <c r="H845" s="5">
        <v>1</v>
      </c>
      <c r="I845" s="2" t="s">
        <v>594</v>
      </c>
      <c r="J845" s="2">
        <v>2</v>
      </c>
      <c r="K845" s="32">
        <f>VLOOKUP(E845,照明設備稼働時間!$A$4:$E$31,5,FALSE)</f>
        <v>8760</v>
      </c>
      <c r="L845" s="32" t="str">
        <f t="shared" si="26"/>
        <v>CF2.2W1誘導灯C級片面</v>
      </c>
      <c r="M845" s="14">
        <f>VLOOKUP(L845,照明器具一覧!$B$4:$F$129,5,FALSE)</f>
        <v>4</v>
      </c>
      <c r="N845" s="14">
        <v>1</v>
      </c>
      <c r="O845" s="142">
        <f t="shared" si="27"/>
        <v>70.08</v>
      </c>
    </row>
    <row r="846" spans="1:15">
      <c r="A846" s="2" t="s">
        <v>1467</v>
      </c>
      <c r="B846" s="78" t="s">
        <v>1499</v>
      </c>
      <c r="C846" s="29"/>
      <c r="D846" s="29" t="s">
        <v>171</v>
      </c>
      <c r="E846" s="29" t="s">
        <v>624</v>
      </c>
      <c r="F846" s="29" t="s">
        <v>71</v>
      </c>
      <c r="G846" s="29" t="s">
        <v>72</v>
      </c>
      <c r="H846" s="5">
        <v>1</v>
      </c>
      <c r="I846" s="29" t="s">
        <v>585</v>
      </c>
      <c r="J846" s="2">
        <v>99</v>
      </c>
      <c r="K846" s="32">
        <f>VLOOKUP(E846,照明設備稼働時間!$A$4:$E$31,5,FALSE)</f>
        <v>0</v>
      </c>
      <c r="L846" s="32" t="str">
        <f t="shared" si="26"/>
        <v>IL60W1非常照明　電源別置型</v>
      </c>
      <c r="M846" s="14">
        <f>VLOOKUP(L846,照明器具一覧!$B$4:$F$129,5,FALSE)</f>
        <v>60</v>
      </c>
      <c r="N846" s="14">
        <v>1</v>
      </c>
      <c r="O846" s="142">
        <f t="shared" si="27"/>
        <v>0</v>
      </c>
    </row>
    <row r="847" spans="1:15">
      <c r="A847" s="2" t="s">
        <v>1468</v>
      </c>
      <c r="B847" s="78" t="s">
        <v>1499</v>
      </c>
      <c r="C847" s="29" t="s">
        <v>581</v>
      </c>
      <c r="D847" s="29" t="s">
        <v>171</v>
      </c>
      <c r="E847" s="29" t="s">
        <v>624</v>
      </c>
      <c r="F847" s="29" t="s">
        <v>71</v>
      </c>
      <c r="G847" s="29" t="s">
        <v>218</v>
      </c>
      <c r="H847" s="34">
        <v>1</v>
      </c>
      <c r="I847" s="29" t="s">
        <v>585</v>
      </c>
      <c r="J847" s="29">
        <v>6</v>
      </c>
      <c r="K847" s="32">
        <f>VLOOKUP(E847,照明設備稼働時間!$A$4:$E$31,5,FALSE)</f>
        <v>0</v>
      </c>
      <c r="L847" s="32" t="str">
        <f t="shared" si="26"/>
        <v>IL40W1非常照明　電源別置型</v>
      </c>
      <c r="M847" s="14">
        <f>VLOOKUP(L847,照明器具一覧!$B$4:$F$129,5,FALSE)</f>
        <v>40</v>
      </c>
      <c r="N847" s="14">
        <v>1</v>
      </c>
      <c r="O847" s="142">
        <f t="shared" si="27"/>
        <v>0</v>
      </c>
    </row>
    <row r="848" spans="1:15">
      <c r="A848" s="2" t="s">
        <v>1469</v>
      </c>
      <c r="B848" s="78" t="s">
        <v>1499</v>
      </c>
      <c r="C848" s="2" t="s">
        <v>82</v>
      </c>
      <c r="D848" s="2" t="s">
        <v>226</v>
      </c>
      <c r="E848" s="2" t="s">
        <v>612</v>
      </c>
      <c r="F848" s="49" t="s">
        <v>227</v>
      </c>
      <c r="G848" s="50" t="s">
        <v>21</v>
      </c>
      <c r="H848" s="15">
        <v>1</v>
      </c>
      <c r="I848" s="14" t="s">
        <v>251</v>
      </c>
      <c r="J848" s="24">
        <v>4</v>
      </c>
      <c r="K848" s="32">
        <f>VLOOKUP(E848,照明設備稼働時間!$A$4:$E$31,5,FALSE)</f>
        <v>484</v>
      </c>
      <c r="L848" s="32" t="str">
        <f t="shared" si="26"/>
        <v>FHF32W1笠付</v>
      </c>
      <c r="M848" s="14">
        <f>VLOOKUP(L848,照明器具一覧!$B$4:$F$129,5,FALSE)</f>
        <v>36</v>
      </c>
      <c r="N848" s="14">
        <v>1</v>
      </c>
      <c r="O848" s="142">
        <f t="shared" si="27"/>
        <v>69.695999999999998</v>
      </c>
    </row>
    <row r="849" spans="1:15">
      <c r="A849" s="2" t="s">
        <v>1470</v>
      </c>
      <c r="B849" s="78" t="s">
        <v>1499</v>
      </c>
      <c r="C849" s="2" t="s">
        <v>80</v>
      </c>
      <c r="D849" s="2" t="s">
        <v>226</v>
      </c>
      <c r="E849" s="2" t="s">
        <v>601</v>
      </c>
      <c r="F849" s="49" t="s">
        <v>228</v>
      </c>
      <c r="G849" s="50" t="s">
        <v>21</v>
      </c>
      <c r="H849" s="15">
        <v>1</v>
      </c>
      <c r="I849" s="14" t="s">
        <v>551</v>
      </c>
      <c r="J849" s="24">
        <v>1</v>
      </c>
      <c r="K849" s="32">
        <f>VLOOKUP(E849,照明設備稼働時間!$A$4:$E$31,5,FALSE)</f>
        <v>2299</v>
      </c>
      <c r="L849" s="32" t="str">
        <f t="shared" si="26"/>
        <v>FHF32W1階段灯　非常灯付</v>
      </c>
      <c r="M849" s="14">
        <f>VLOOKUP(L849,照明器具一覧!$B$4:$F$129,5,FALSE)</f>
        <v>36</v>
      </c>
      <c r="N849" s="14">
        <v>1</v>
      </c>
      <c r="O849" s="142">
        <f t="shared" si="27"/>
        <v>82.763999999999996</v>
      </c>
    </row>
    <row r="850" spans="1:15">
      <c r="A850" s="2" t="s">
        <v>1471</v>
      </c>
      <c r="B850" s="78" t="s">
        <v>1499</v>
      </c>
      <c r="C850" s="2" t="s">
        <v>575</v>
      </c>
      <c r="D850" s="2" t="s">
        <v>225</v>
      </c>
      <c r="E850" s="2" t="s">
        <v>601</v>
      </c>
      <c r="F850" s="49" t="s">
        <v>229</v>
      </c>
      <c r="G850" s="50" t="s">
        <v>164</v>
      </c>
      <c r="H850" s="15">
        <v>1</v>
      </c>
      <c r="I850" s="50" t="s">
        <v>250</v>
      </c>
      <c r="J850" s="24">
        <v>1</v>
      </c>
      <c r="K850" s="32">
        <f>VLOOKUP(E850,照明設備稼働時間!$A$4:$E$31,5,FALSE)</f>
        <v>2299</v>
      </c>
      <c r="L850" s="32" t="str">
        <f t="shared" si="26"/>
        <v>FL20W1ブラケット器具</v>
      </c>
      <c r="M850" s="14">
        <f>VLOOKUP(L850,照明器具一覧!$B$4:$F$129,5,FALSE)</f>
        <v>22</v>
      </c>
      <c r="N850" s="14">
        <v>1</v>
      </c>
      <c r="O850" s="142">
        <f t="shared" si="27"/>
        <v>50.578000000000003</v>
      </c>
    </row>
    <row r="851" spans="1:15">
      <c r="A851" s="2" t="s">
        <v>1472</v>
      </c>
      <c r="B851" s="78" t="s">
        <v>1499</v>
      </c>
      <c r="C851" s="2" t="s">
        <v>504</v>
      </c>
      <c r="D851" s="2" t="s">
        <v>226</v>
      </c>
      <c r="E851" s="2" t="s">
        <v>600</v>
      </c>
      <c r="F851" s="49" t="s">
        <v>255</v>
      </c>
      <c r="G851" s="50" t="s">
        <v>21</v>
      </c>
      <c r="H851" s="15">
        <v>6</v>
      </c>
      <c r="I851" s="50" t="s">
        <v>505</v>
      </c>
      <c r="J851" s="24">
        <v>6</v>
      </c>
      <c r="K851" s="32">
        <f>VLOOKUP(E851,照明設備稼働時間!$A$4:$E$31,5,FALSE)</f>
        <v>2299</v>
      </c>
      <c r="L851" s="32" t="str">
        <f t="shared" si="26"/>
        <v>FHF32W6スクエア　埋込ルーバ</v>
      </c>
      <c r="M851" s="14">
        <f>VLOOKUP(L851,照明器具一覧!$B$4:$F$129,5,FALSE)</f>
        <v>216</v>
      </c>
      <c r="N851" s="14">
        <v>1</v>
      </c>
      <c r="O851" s="142">
        <f t="shared" si="27"/>
        <v>2979.5039999999999</v>
      </c>
    </row>
    <row r="852" spans="1:15">
      <c r="A852" s="2" t="s">
        <v>1473</v>
      </c>
      <c r="B852" s="78" t="s">
        <v>1499</v>
      </c>
      <c r="C852" s="2" t="s">
        <v>84</v>
      </c>
      <c r="D852" s="2" t="s">
        <v>226</v>
      </c>
      <c r="E852" s="2" t="s">
        <v>600</v>
      </c>
      <c r="F852" s="49" t="s">
        <v>255</v>
      </c>
      <c r="G852" s="50" t="s">
        <v>21</v>
      </c>
      <c r="H852" s="15">
        <v>1</v>
      </c>
      <c r="I852" s="50" t="s">
        <v>89</v>
      </c>
      <c r="J852" s="24">
        <v>24</v>
      </c>
      <c r="K852" s="32">
        <f>VLOOKUP(E852,照明設備稼働時間!$A$4:$E$31,5,FALSE)</f>
        <v>2299</v>
      </c>
      <c r="L852" s="32" t="str">
        <f t="shared" si="26"/>
        <v>FHF32W1トラフ</v>
      </c>
      <c r="M852" s="14">
        <f>VLOOKUP(L852,照明器具一覧!$B$4:$F$129,5,FALSE)</f>
        <v>36</v>
      </c>
      <c r="N852" s="14">
        <v>0.5</v>
      </c>
      <c r="O852" s="142">
        <f t="shared" si="27"/>
        <v>993.16800000000001</v>
      </c>
    </row>
    <row r="853" spans="1:15">
      <c r="A853" s="2" t="s">
        <v>1474</v>
      </c>
      <c r="B853" s="78" t="s">
        <v>1499</v>
      </c>
      <c r="C853" s="2"/>
      <c r="D853" s="2" t="s">
        <v>226</v>
      </c>
      <c r="E853" s="2" t="s">
        <v>600</v>
      </c>
      <c r="F853" s="49" t="s">
        <v>256</v>
      </c>
      <c r="G853" s="50" t="s">
        <v>503</v>
      </c>
      <c r="H853" s="15">
        <v>1</v>
      </c>
      <c r="I853" s="50"/>
      <c r="J853" s="24">
        <v>28</v>
      </c>
      <c r="K853" s="32">
        <f>VLOOKUP(E853,照明設備稼働時間!$A$4:$E$31,5,FALSE)</f>
        <v>2299</v>
      </c>
      <c r="L853" s="32" t="str">
        <f t="shared" si="26"/>
        <v>FLR110W1</v>
      </c>
      <c r="M853" s="14">
        <f>VLOOKUP(L853,照明器具一覧!$B$4:$F$129,5,FALSE)</f>
        <v>121</v>
      </c>
      <c r="N853" s="14">
        <v>1</v>
      </c>
      <c r="O853" s="142">
        <f t="shared" si="27"/>
        <v>7789.0119999999997</v>
      </c>
    </row>
    <row r="854" spans="1:15">
      <c r="A854" s="2" t="s">
        <v>1475</v>
      </c>
      <c r="B854" s="78" t="s">
        <v>1499</v>
      </c>
      <c r="C854" s="2"/>
      <c r="D854" s="2" t="s">
        <v>226</v>
      </c>
      <c r="E854" s="2" t="s">
        <v>600</v>
      </c>
      <c r="F854" s="49" t="s">
        <v>256</v>
      </c>
      <c r="G854" s="50" t="s">
        <v>503</v>
      </c>
      <c r="H854" s="15">
        <v>1</v>
      </c>
      <c r="I854" s="50"/>
      <c r="J854" s="24">
        <v>30</v>
      </c>
      <c r="K854" s="32">
        <f>VLOOKUP(E854,照明設備稼働時間!$A$4:$E$31,5,FALSE)</f>
        <v>2299</v>
      </c>
      <c r="L854" s="32" t="str">
        <f t="shared" si="26"/>
        <v>FLR110W1</v>
      </c>
      <c r="M854" s="14">
        <f>VLOOKUP(L854,照明器具一覧!$B$4:$F$129,5,FALSE)</f>
        <v>121</v>
      </c>
      <c r="N854" s="14">
        <v>0.5</v>
      </c>
      <c r="O854" s="142">
        <f t="shared" si="27"/>
        <v>4172.6850000000004</v>
      </c>
    </row>
    <row r="855" spans="1:15">
      <c r="A855" s="2" t="s">
        <v>1476</v>
      </c>
      <c r="B855" s="78" t="s">
        <v>1499</v>
      </c>
      <c r="C855" s="2" t="s">
        <v>504</v>
      </c>
      <c r="D855" s="2" t="s">
        <v>226</v>
      </c>
      <c r="E855" s="2" t="s">
        <v>600</v>
      </c>
      <c r="F855" s="49" t="s">
        <v>257</v>
      </c>
      <c r="G855" s="50" t="s">
        <v>21</v>
      </c>
      <c r="H855" s="15">
        <v>6</v>
      </c>
      <c r="I855" s="50" t="s">
        <v>505</v>
      </c>
      <c r="J855" s="24">
        <v>6</v>
      </c>
      <c r="K855" s="32">
        <f>VLOOKUP(E855,照明設備稼働時間!$A$4:$E$31,5,FALSE)</f>
        <v>2299</v>
      </c>
      <c r="L855" s="32" t="str">
        <f t="shared" si="26"/>
        <v>FHF32W6スクエア　埋込ルーバ</v>
      </c>
      <c r="M855" s="14">
        <f>VLOOKUP(L855,照明器具一覧!$B$4:$F$129,5,FALSE)</f>
        <v>216</v>
      </c>
      <c r="N855" s="14">
        <v>1</v>
      </c>
      <c r="O855" s="142">
        <f t="shared" si="27"/>
        <v>2979.5039999999999</v>
      </c>
    </row>
    <row r="856" spans="1:15">
      <c r="A856" s="2" t="s">
        <v>1477</v>
      </c>
      <c r="B856" s="78" t="s">
        <v>1499</v>
      </c>
      <c r="C856" s="2" t="s">
        <v>84</v>
      </c>
      <c r="D856" s="2" t="s">
        <v>226</v>
      </c>
      <c r="E856" s="2" t="s">
        <v>600</v>
      </c>
      <c r="F856" s="49" t="s">
        <v>257</v>
      </c>
      <c r="G856" s="50" t="s">
        <v>21</v>
      </c>
      <c r="H856" s="15">
        <v>1</v>
      </c>
      <c r="I856" s="50" t="s">
        <v>89</v>
      </c>
      <c r="J856" s="24">
        <v>24</v>
      </c>
      <c r="K856" s="32">
        <f>VLOOKUP(E856,照明設備稼働時間!$A$4:$E$31,5,FALSE)</f>
        <v>2299</v>
      </c>
      <c r="L856" s="32" t="str">
        <f t="shared" si="26"/>
        <v>FHF32W1トラフ</v>
      </c>
      <c r="M856" s="14">
        <f>VLOOKUP(L856,照明器具一覧!$B$4:$F$129,5,FALSE)</f>
        <v>36</v>
      </c>
      <c r="N856" s="14">
        <v>0.5</v>
      </c>
      <c r="O856" s="142">
        <f t="shared" si="27"/>
        <v>993.16800000000001</v>
      </c>
    </row>
    <row r="857" spans="1:15">
      <c r="A857" s="2" t="s">
        <v>1478</v>
      </c>
      <c r="B857" s="78" t="s">
        <v>1499</v>
      </c>
      <c r="C857" s="2" t="s">
        <v>82</v>
      </c>
      <c r="D857" s="2" t="s">
        <v>225</v>
      </c>
      <c r="E857" s="2" t="s">
        <v>612</v>
      </c>
      <c r="F857" s="49" t="s">
        <v>230</v>
      </c>
      <c r="G857" s="50" t="s">
        <v>21</v>
      </c>
      <c r="H857" s="15">
        <v>1</v>
      </c>
      <c r="I857" s="14" t="s">
        <v>251</v>
      </c>
      <c r="J857" s="24">
        <v>23</v>
      </c>
      <c r="K857" s="32">
        <f>VLOOKUP(E857,照明設備稼働時間!$A$4:$E$31,5,FALSE)</f>
        <v>484</v>
      </c>
      <c r="L857" s="32" t="str">
        <f t="shared" si="26"/>
        <v>FHF32W1笠付</v>
      </c>
      <c r="M857" s="14">
        <f>VLOOKUP(L857,照明器具一覧!$B$4:$F$129,5,FALSE)</f>
        <v>36</v>
      </c>
      <c r="N857" s="14">
        <v>1</v>
      </c>
      <c r="O857" s="142">
        <f t="shared" si="27"/>
        <v>400.75200000000001</v>
      </c>
    </row>
    <row r="858" spans="1:15">
      <c r="A858" s="2" t="s">
        <v>1479</v>
      </c>
      <c r="B858" s="78" t="s">
        <v>1499</v>
      </c>
      <c r="C858" s="2" t="s">
        <v>576</v>
      </c>
      <c r="D858" s="2" t="s">
        <v>225</v>
      </c>
      <c r="E858" s="2" t="s">
        <v>612</v>
      </c>
      <c r="F858" s="49" t="s">
        <v>231</v>
      </c>
      <c r="G858" s="50" t="s">
        <v>164</v>
      </c>
      <c r="H858" s="15">
        <v>1</v>
      </c>
      <c r="I858" s="14" t="s">
        <v>252</v>
      </c>
      <c r="J858" s="24">
        <v>8</v>
      </c>
      <c r="K858" s="32">
        <f>VLOOKUP(E858,照明設備稼働時間!$A$4:$E$31,5,FALSE)</f>
        <v>484</v>
      </c>
      <c r="L858" s="32" t="str">
        <f t="shared" si="26"/>
        <v>FL20W1ブラケット器具</v>
      </c>
      <c r="M858" s="14">
        <f>VLOOKUP(L858,照明器具一覧!$B$4:$F$129,5,FALSE)</f>
        <v>22</v>
      </c>
      <c r="N858" s="14">
        <v>1</v>
      </c>
      <c r="O858" s="142">
        <f t="shared" si="27"/>
        <v>85.183999999999997</v>
      </c>
    </row>
    <row r="859" spans="1:15">
      <c r="A859" s="2" t="s">
        <v>1480</v>
      </c>
      <c r="B859" s="78" t="s">
        <v>1499</v>
      </c>
      <c r="C859" s="2" t="s">
        <v>82</v>
      </c>
      <c r="D859" s="2" t="s">
        <v>225</v>
      </c>
      <c r="E859" s="2" t="s">
        <v>612</v>
      </c>
      <c r="F859" s="49" t="s">
        <v>232</v>
      </c>
      <c r="G859" s="50" t="s">
        <v>21</v>
      </c>
      <c r="H859" s="15">
        <v>1</v>
      </c>
      <c r="I859" s="14" t="s">
        <v>251</v>
      </c>
      <c r="J859" s="24">
        <v>4</v>
      </c>
      <c r="K859" s="32">
        <f>VLOOKUP(E859,照明設備稼働時間!$A$4:$E$31,5,FALSE)</f>
        <v>484</v>
      </c>
      <c r="L859" s="32" t="str">
        <f t="shared" si="26"/>
        <v>FHF32W1笠付</v>
      </c>
      <c r="M859" s="14">
        <f>VLOOKUP(L859,照明器具一覧!$B$4:$F$129,5,FALSE)</f>
        <v>36</v>
      </c>
      <c r="N859" s="14">
        <v>1</v>
      </c>
      <c r="O859" s="142">
        <f t="shared" si="27"/>
        <v>69.695999999999998</v>
      </c>
    </row>
    <row r="860" spans="1:15">
      <c r="A860" s="2" t="s">
        <v>1481</v>
      </c>
      <c r="B860" s="78" t="s">
        <v>1499</v>
      </c>
      <c r="C860" s="2" t="s">
        <v>82</v>
      </c>
      <c r="D860" s="2" t="s">
        <v>225</v>
      </c>
      <c r="E860" s="2" t="s">
        <v>612</v>
      </c>
      <c r="F860" s="49" t="s">
        <v>233</v>
      </c>
      <c r="G860" s="50" t="s">
        <v>21</v>
      </c>
      <c r="H860" s="15">
        <v>1</v>
      </c>
      <c r="I860" s="14" t="s">
        <v>251</v>
      </c>
      <c r="J860" s="24">
        <v>3</v>
      </c>
      <c r="K860" s="32">
        <f>VLOOKUP(E860,照明設備稼働時間!$A$4:$E$31,5,FALSE)</f>
        <v>484</v>
      </c>
      <c r="L860" s="32" t="str">
        <f t="shared" si="26"/>
        <v>FHF32W1笠付</v>
      </c>
      <c r="M860" s="14">
        <f>VLOOKUP(L860,照明器具一覧!$B$4:$F$129,5,FALSE)</f>
        <v>36</v>
      </c>
      <c r="N860" s="14">
        <v>1</v>
      </c>
      <c r="O860" s="142">
        <f t="shared" si="27"/>
        <v>52.271999999999998</v>
      </c>
    </row>
    <row r="861" spans="1:15">
      <c r="A861" s="2" t="s">
        <v>1482</v>
      </c>
      <c r="B861" s="78" t="s">
        <v>1499</v>
      </c>
      <c r="C861" s="2" t="s">
        <v>85</v>
      </c>
      <c r="D861" s="2" t="s">
        <v>225</v>
      </c>
      <c r="E861" s="2" t="s">
        <v>612</v>
      </c>
      <c r="F861" s="49" t="s">
        <v>234</v>
      </c>
      <c r="G861" s="50" t="s">
        <v>21</v>
      </c>
      <c r="H861" s="15">
        <v>1</v>
      </c>
      <c r="I861" s="14" t="s">
        <v>253</v>
      </c>
      <c r="J861" s="24">
        <v>2</v>
      </c>
      <c r="K861" s="32">
        <f>VLOOKUP(E861,照明設備稼働時間!$A$4:$E$31,5,FALSE)</f>
        <v>484</v>
      </c>
      <c r="L861" s="32" t="str">
        <f t="shared" si="26"/>
        <v>FHF32W1片反射笠付</v>
      </c>
      <c r="M861" s="14">
        <f>VLOOKUP(L861,照明器具一覧!$B$4:$F$129,5,FALSE)</f>
        <v>36</v>
      </c>
      <c r="N861" s="14">
        <v>1</v>
      </c>
      <c r="O861" s="142">
        <f t="shared" si="27"/>
        <v>34.847999999999999</v>
      </c>
    </row>
    <row r="862" spans="1:15">
      <c r="A862" s="2" t="s">
        <v>1483</v>
      </c>
      <c r="B862" s="78" t="s">
        <v>1499</v>
      </c>
      <c r="C862" s="2" t="s">
        <v>79</v>
      </c>
      <c r="D862" s="2" t="s">
        <v>225</v>
      </c>
      <c r="E862" s="2" t="s">
        <v>601</v>
      </c>
      <c r="F862" s="49" t="s">
        <v>235</v>
      </c>
      <c r="G862" s="50" t="s">
        <v>21</v>
      </c>
      <c r="H862" s="15">
        <v>1</v>
      </c>
      <c r="I862" s="14" t="s">
        <v>551</v>
      </c>
      <c r="J862" s="24">
        <v>1</v>
      </c>
      <c r="K862" s="32">
        <f>VLOOKUP(E862,照明設備稼働時間!$A$4:$E$31,5,FALSE)</f>
        <v>2299</v>
      </c>
      <c r="L862" s="32" t="str">
        <f t="shared" si="26"/>
        <v>FHF32W1階段灯　非常灯付</v>
      </c>
      <c r="M862" s="14">
        <f>VLOOKUP(L862,照明器具一覧!$B$4:$F$129,5,FALSE)</f>
        <v>36</v>
      </c>
      <c r="N862" s="14">
        <v>1</v>
      </c>
      <c r="O862" s="142">
        <f t="shared" si="27"/>
        <v>82.763999999999996</v>
      </c>
    </row>
    <row r="863" spans="1:15">
      <c r="A863" s="2" t="s">
        <v>1484</v>
      </c>
      <c r="B863" s="78" t="s">
        <v>1499</v>
      </c>
      <c r="C863" s="2" t="s">
        <v>575</v>
      </c>
      <c r="D863" s="2" t="s">
        <v>225</v>
      </c>
      <c r="E863" s="2" t="s">
        <v>601</v>
      </c>
      <c r="F863" s="49" t="s">
        <v>236</v>
      </c>
      <c r="G863" s="50" t="s">
        <v>164</v>
      </c>
      <c r="H863" s="15">
        <v>1</v>
      </c>
      <c r="I863" s="14" t="s">
        <v>252</v>
      </c>
      <c r="J863" s="24">
        <v>1</v>
      </c>
      <c r="K863" s="32">
        <f>VLOOKUP(E863,照明設備稼働時間!$A$4:$E$31,5,FALSE)</f>
        <v>2299</v>
      </c>
      <c r="L863" s="32" t="str">
        <f t="shared" si="26"/>
        <v>FL20W1ブラケット器具</v>
      </c>
      <c r="M863" s="14">
        <f>VLOOKUP(L863,照明器具一覧!$B$4:$F$129,5,FALSE)</f>
        <v>22</v>
      </c>
      <c r="N863" s="14">
        <v>1</v>
      </c>
      <c r="O863" s="142">
        <f t="shared" si="27"/>
        <v>50.578000000000003</v>
      </c>
    </row>
    <row r="864" spans="1:15">
      <c r="A864" s="2" t="s">
        <v>1485</v>
      </c>
      <c r="B864" s="78" t="s">
        <v>1499</v>
      </c>
      <c r="C864" s="2" t="s">
        <v>82</v>
      </c>
      <c r="D864" s="2" t="s">
        <v>225</v>
      </c>
      <c r="E864" s="2" t="s">
        <v>612</v>
      </c>
      <c r="F864" s="49" t="s">
        <v>237</v>
      </c>
      <c r="G864" s="50" t="s">
        <v>21</v>
      </c>
      <c r="H864" s="15">
        <v>1</v>
      </c>
      <c r="I864" s="14" t="s">
        <v>251</v>
      </c>
      <c r="J864" s="24">
        <v>4</v>
      </c>
      <c r="K864" s="32">
        <f>VLOOKUP(E864,照明設備稼働時間!$A$4:$E$31,5,FALSE)</f>
        <v>484</v>
      </c>
      <c r="L864" s="32" t="str">
        <f t="shared" si="26"/>
        <v>FHF32W1笠付</v>
      </c>
      <c r="M864" s="14">
        <f>VLOOKUP(L864,照明器具一覧!$B$4:$F$129,5,FALSE)</f>
        <v>36</v>
      </c>
      <c r="N864" s="14">
        <v>1</v>
      </c>
      <c r="O864" s="142">
        <f t="shared" si="27"/>
        <v>69.695999999999998</v>
      </c>
    </row>
    <row r="865" spans="1:15">
      <c r="A865" s="2" t="s">
        <v>1486</v>
      </c>
      <c r="B865" s="78" t="s">
        <v>1499</v>
      </c>
      <c r="C865" s="2" t="s">
        <v>80</v>
      </c>
      <c r="D865" s="2" t="s">
        <v>225</v>
      </c>
      <c r="E865" s="2" t="s">
        <v>601</v>
      </c>
      <c r="F865" s="49" t="s">
        <v>238</v>
      </c>
      <c r="G865" s="50" t="s">
        <v>21</v>
      </c>
      <c r="H865" s="15">
        <v>1</v>
      </c>
      <c r="I865" s="14" t="s">
        <v>551</v>
      </c>
      <c r="J865" s="24">
        <v>1</v>
      </c>
      <c r="K865" s="32">
        <f>VLOOKUP(E865,照明設備稼働時間!$A$4:$E$31,5,FALSE)</f>
        <v>2299</v>
      </c>
      <c r="L865" s="32" t="str">
        <f t="shared" si="26"/>
        <v>FHF32W1階段灯　非常灯付</v>
      </c>
      <c r="M865" s="14">
        <f>VLOOKUP(L865,照明器具一覧!$B$4:$F$129,5,FALSE)</f>
        <v>36</v>
      </c>
      <c r="N865" s="14">
        <v>1</v>
      </c>
      <c r="O865" s="142">
        <f t="shared" si="27"/>
        <v>82.763999999999996</v>
      </c>
    </row>
    <row r="866" spans="1:15">
      <c r="A866" s="2" t="s">
        <v>1487</v>
      </c>
      <c r="B866" s="78" t="s">
        <v>1499</v>
      </c>
      <c r="C866" s="2" t="s">
        <v>575</v>
      </c>
      <c r="D866" s="2" t="s">
        <v>225</v>
      </c>
      <c r="E866" s="2" t="s">
        <v>601</v>
      </c>
      <c r="F866" s="49" t="s">
        <v>239</v>
      </c>
      <c r="G866" s="50" t="s">
        <v>164</v>
      </c>
      <c r="H866" s="15">
        <v>1</v>
      </c>
      <c r="I866" s="14" t="s">
        <v>252</v>
      </c>
      <c r="J866" s="24">
        <v>1</v>
      </c>
      <c r="K866" s="32">
        <f>VLOOKUP(E866,照明設備稼働時間!$A$4:$E$31,5,FALSE)</f>
        <v>2299</v>
      </c>
      <c r="L866" s="32" t="str">
        <f t="shared" si="26"/>
        <v>FL20W1ブラケット器具</v>
      </c>
      <c r="M866" s="14">
        <f>VLOOKUP(L866,照明器具一覧!$B$4:$F$129,5,FALSE)</f>
        <v>22</v>
      </c>
      <c r="N866" s="14">
        <v>1</v>
      </c>
      <c r="O866" s="142">
        <f t="shared" si="27"/>
        <v>50.578000000000003</v>
      </c>
    </row>
    <row r="867" spans="1:15">
      <c r="A867" s="2" t="s">
        <v>1488</v>
      </c>
      <c r="B867" s="78" t="s">
        <v>1499</v>
      </c>
      <c r="C867" s="2" t="s">
        <v>82</v>
      </c>
      <c r="D867" s="2" t="s">
        <v>225</v>
      </c>
      <c r="E867" s="2" t="s">
        <v>612</v>
      </c>
      <c r="F867" s="49" t="s">
        <v>240</v>
      </c>
      <c r="G867" s="50" t="s">
        <v>21</v>
      </c>
      <c r="H867" s="15">
        <v>1</v>
      </c>
      <c r="I867" s="14" t="s">
        <v>251</v>
      </c>
      <c r="J867" s="24">
        <v>4</v>
      </c>
      <c r="K867" s="32">
        <f>VLOOKUP(E867,照明設備稼働時間!$A$4:$E$31,5,FALSE)</f>
        <v>484</v>
      </c>
      <c r="L867" s="32" t="str">
        <f t="shared" si="26"/>
        <v>FHF32W1笠付</v>
      </c>
      <c r="M867" s="14">
        <f>VLOOKUP(L867,照明器具一覧!$B$4:$F$129,5,FALSE)</f>
        <v>36</v>
      </c>
      <c r="N867" s="14">
        <v>1</v>
      </c>
      <c r="O867" s="142">
        <f t="shared" si="27"/>
        <v>69.695999999999998</v>
      </c>
    </row>
    <row r="868" spans="1:15">
      <c r="A868" s="2" t="s">
        <v>1489</v>
      </c>
      <c r="B868" s="78" t="s">
        <v>1499</v>
      </c>
      <c r="C868" s="2" t="s">
        <v>82</v>
      </c>
      <c r="D868" s="2" t="s">
        <v>225</v>
      </c>
      <c r="E868" s="2" t="s">
        <v>612</v>
      </c>
      <c r="F868" s="49" t="s">
        <v>241</v>
      </c>
      <c r="G868" s="50" t="s">
        <v>21</v>
      </c>
      <c r="H868" s="15">
        <v>1</v>
      </c>
      <c r="I868" s="14" t="s">
        <v>251</v>
      </c>
      <c r="J868" s="24">
        <v>4</v>
      </c>
      <c r="K868" s="32">
        <f>VLOOKUP(E868,照明設備稼働時間!$A$4:$E$31,5,FALSE)</f>
        <v>484</v>
      </c>
      <c r="L868" s="32" t="str">
        <f t="shared" si="26"/>
        <v>FHF32W1笠付</v>
      </c>
      <c r="M868" s="14">
        <f>VLOOKUP(L868,照明器具一覧!$B$4:$F$129,5,FALSE)</f>
        <v>36</v>
      </c>
      <c r="N868" s="14">
        <v>1</v>
      </c>
      <c r="O868" s="142">
        <f t="shared" si="27"/>
        <v>69.695999999999998</v>
      </c>
    </row>
    <row r="869" spans="1:15">
      <c r="A869" s="2" t="s">
        <v>1490</v>
      </c>
      <c r="B869" s="78" t="s">
        <v>1499</v>
      </c>
      <c r="C869" s="2" t="s">
        <v>79</v>
      </c>
      <c r="D869" s="2" t="s">
        <v>225</v>
      </c>
      <c r="E869" s="2" t="s">
        <v>601</v>
      </c>
      <c r="F869" s="49" t="s">
        <v>242</v>
      </c>
      <c r="G869" s="50" t="s">
        <v>21</v>
      </c>
      <c r="H869" s="15">
        <v>1</v>
      </c>
      <c r="I869" s="14" t="s">
        <v>551</v>
      </c>
      <c r="J869" s="24">
        <v>1</v>
      </c>
      <c r="K869" s="32">
        <f>VLOOKUP(E869,照明設備稼働時間!$A$4:$E$31,5,FALSE)</f>
        <v>2299</v>
      </c>
      <c r="L869" s="32" t="str">
        <f t="shared" si="26"/>
        <v>FHF32W1階段灯　非常灯付</v>
      </c>
      <c r="M869" s="14">
        <f>VLOOKUP(L869,照明器具一覧!$B$4:$F$129,5,FALSE)</f>
        <v>36</v>
      </c>
      <c r="N869" s="14">
        <v>1</v>
      </c>
      <c r="O869" s="142">
        <f t="shared" si="27"/>
        <v>82.763999999999996</v>
      </c>
    </row>
    <row r="870" spans="1:15">
      <c r="A870" s="2" t="s">
        <v>1491</v>
      </c>
      <c r="B870" s="78" t="s">
        <v>1499</v>
      </c>
      <c r="C870" s="2" t="s">
        <v>575</v>
      </c>
      <c r="D870" s="2" t="s">
        <v>225</v>
      </c>
      <c r="E870" s="2" t="s">
        <v>601</v>
      </c>
      <c r="F870" s="49" t="s">
        <v>243</v>
      </c>
      <c r="G870" s="50" t="s">
        <v>164</v>
      </c>
      <c r="H870" s="15">
        <v>1</v>
      </c>
      <c r="I870" s="14" t="s">
        <v>252</v>
      </c>
      <c r="J870" s="24">
        <v>1</v>
      </c>
      <c r="K870" s="32">
        <f>VLOOKUP(E870,照明設備稼働時間!$A$4:$E$31,5,FALSE)</f>
        <v>2299</v>
      </c>
      <c r="L870" s="32" t="str">
        <f t="shared" si="26"/>
        <v>FL20W1ブラケット器具</v>
      </c>
      <c r="M870" s="14">
        <f>VLOOKUP(L870,照明器具一覧!$B$4:$F$129,5,FALSE)</f>
        <v>22</v>
      </c>
      <c r="N870" s="14">
        <v>1</v>
      </c>
      <c r="O870" s="142">
        <f t="shared" si="27"/>
        <v>50.578000000000003</v>
      </c>
    </row>
    <row r="871" spans="1:15">
      <c r="A871" s="2" t="s">
        <v>1492</v>
      </c>
      <c r="B871" s="78" t="s">
        <v>1499</v>
      </c>
      <c r="C871" s="2" t="s">
        <v>85</v>
      </c>
      <c r="D871" s="2" t="s">
        <v>225</v>
      </c>
      <c r="E871" s="2" t="s">
        <v>612</v>
      </c>
      <c r="F871" s="49" t="s">
        <v>244</v>
      </c>
      <c r="G871" s="50" t="s">
        <v>21</v>
      </c>
      <c r="H871" s="15">
        <v>1</v>
      </c>
      <c r="I871" s="14" t="s">
        <v>253</v>
      </c>
      <c r="J871" s="24">
        <v>2</v>
      </c>
      <c r="K871" s="32">
        <f>VLOOKUP(E871,照明設備稼働時間!$A$4:$E$31,5,FALSE)</f>
        <v>484</v>
      </c>
      <c r="L871" s="32" t="str">
        <f t="shared" si="26"/>
        <v>FHF32W1片反射笠付</v>
      </c>
      <c r="M871" s="14">
        <f>VLOOKUP(L871,照明器具一覧!$B$4:$F$129,5,FALSE)</f>
        <v>36</v>
      </c>
      <c r="N871" s="14">
        <v>1</v>
      </c>
      <c r="O871" s="142">
        <f t="shared" si="27"/>
        <v>34.847999999999999</v>
      </c>
    </row>
    <row r="872" spans="1:15">
      <c r="A872" s="2" t="s">
        <v>1493</v>
      </c>
      <c r="B872" s="78" t="s">
        <v>1499</v>
      </c>
      <c r="C872" s="2" t="s">
        <v>82</v>
      </c>
      <c r="D872" s="2" t="s">
        <v>225</v>
      </c>
      <c r="E872" s="2" t="s">
        <v>612</v>
      </c>
      <c r="F872" s="49" t="s">
        <v>245</v>
      </c>
      <c r="G872" s="50" t="s">
        <v>21</v>
      </c>
      <c r="H872" s="15">
        <v>1</v>
      </c>
      <c r="I872" s="14" t="s">
        <v>251</v>
      </c>
      <c r="J872" s="24">
        <v>3</v>
      </c>
      <c r="K872" s="32">
        <f>VLOOKUP(E872,照明設備稼働時間!$A$4:$E$31,5,FALSE)</f>
        <v>484</v>
      </c>
      <c r="L872" s="32" t="str">
        <f t="shared" si="26"/>
        <v>FHF32W1笠付</v>
      </c>
      <c r="M872" s="14">
        <f>VLOOKUP(L872,照明器具一覧!$B$4:$F$129,5,FALSE)</f>
        <v>36</v>
      </c>
      <c r="N872" s="14">
        <v>1</v>
      </c>
      <c r="O872" s="142">
        <f t="shared" si="27"/>
        <v>52.271999999999998</v>
      </c>
    </row>
    <row r="873" spans="1:15">
      <c r="A873" s="2" t="s">
        <v>1494</v>
      </c>
      <c r="B873" s="78" t="s">
        <v>1499</v>
      </c>
      <c r="C873" s="2" t="s">
        <v>576</v>
      </c>
      <c r="D873" s="2" t="s">
        <v>226</v>
      </c>
      <c r="E873" s="2" t="s">
        <v>601</v>
      </c>
      <c r="F873" s="49" t="s">
        <v>246</v>
      </c>
      <c r="G873" s="50" t="s">
        <v>164</v>
      </c>
      <c r="H873" s="15">
        <v>1</v>
      </c>
      <c r="I873" s="14" t="s">
        <v>252</v>
      </c>
      <c r="J873" s="24">
        <v>1</v>
      </c>
      <c r="K873" s="32">
        <f>VLOOKUP(E873,照明設備稼働時間!$A$4:$E$31,5,FALSE)</f>
        <v>2299</v>
      </c>
      <c r="L873" s="32" t="str">
        <f t="shared" si="26"/>
        <v>FL20W1ブラケット器具</v>
      </c>
      <c r="M873" s="14">
        <f>VLOOKUP(L873,照明器具一覧!$B$4:$F$129,5,FALSE)</f>
        <v>22</v>
      </c>
      <c r="N873" s="14">
        <v>1</v>
      </c>
      <c r="O873" s="142">
        <f t="shared" si="27"/>
        <v>50.578000000000003</v>
      </c>
    </row>
    <row r="874" spans="1:15">
      <c r="A874" s="2" t="s">
        <v>1495</v>
      </c>
      <c r="B874" s="78" t="s">
        <v>1499</v>
      </c>
      <c r="C874" s="2" t="s">
        <v>577</v>
      </c>
      <c r="D874" s="2" t="s">
        <v>226</v>
      </c>
      <c r="E874" s="2" t="s">
        <v>601</v>
      </c>
      <c r="F874" s="49" t="s">
        <v>247</v>
      </c>
      <c r="G874" s="50" t="s">
        <v>19</v>
      </c>
      <c r="H874" s="15">
        <v>1</v>
      </c>
      <c r="I874" s="14" t="s">
        <v>254</v>
      </c>
      <c r="J874" s="24">
        <v>2</v>
      </c>
      <c r="K874" s="32">
        <f>VLOOKUP(E874,照明設備稼働時間!$A$4:$E$31,5,FALSE)</f>
        <v>2299</v>
      </c>
      <c r="L874" s="32" t="str">
        <f t="shared" si="26"/>
        <v>FHF16W1逆富士（高出力）</v>
      </c>
      <c r="M874" s="14">
        <f>VLOOKUP(L874,照明器具一覧!$B$4:$F$129,5,FALSE)</f>
        <v>26</v>
      </c>
      <c r="N874" s="14">
        <v>1</v>
      </c>
      <c r="O874" s="142">
        <f t="shared" si="27"/>
        <v>119.548</v>
      </c>
    </row>
    <row r="875" spans="1:15">
      <c r="A875" s="2" t="s">
        <v>1496</v>
      </c>
      <c r="B875" s="78" t="s">
        <v>1499</v>
      </c>
      <c r="C875" s="2" t="s">
        <v>82</v>
      </c>
      <c r="D875" s="2" t="s">
        <v>226</v>
      </c>
      <c r="E875" s="2" t="s">
        <v>612</v>
      </c>
      <c r="F875" s="49" t="s">
        <v>248</v>
      </c>
      <c r="G875" s="50" t="s">
        <v>21</v>
      </c>
      <c r="H875" s="15">
        <v>1</v>
      </c>
      <c r="I875" s="14" t="s">
        <v>251</v>
      </c>
      <c r="J875" s="24">
        <v>7</v>
      </c>
      <c r="K875" s="32">
        <f>VLOOKUP(E875,照明設備稼働時間!$A$4:$E$31,5,FALSE)</f>
        <v>484</v>
      </c>
      <c r="L875" s="32" t="str">
        <f t="shared" si="26"/>
        <v>FHF32W1笠付</v>
      </c>
      <c r="M875" s="14">
        <f>VLOOKUP(L875,照明器具一覧!$B$4:$F$129,5,FALSE)</f>
        <v>36</v>
      </c>
      <c r="N875" s="14">
        <v>1</v>
      </c>
      <c r="O875" s="142">
        <f t="shared" si="27"/>
        <v>121.968</v>
      </c>
    </row>
    <row r="876" spans="1:15">
      <c r="A876" s="2" t="s">
        <v>1497</v>
      </c>
      <c r="B876" s="78" t="s">
        <v>1499</v>
      </c>
      <c r="C876" s="2" t="s">
        <v>82</v>
      </c>
      <c r="D876" s="2" t="s">
        <v>226</v>
      </c>
      <c r="E876" s="2" t="s">
        <v>612</v>
      </c>
      <c r="F876" s="49" t="s">
        <v>249</v>
      </c>
      <c r="G876" s="50" t="s">
        <v>21</v>
      </c>
      <c r="H876" s="15">
        <v>1</v>
      </c>
      <c r="I876" s="14" t="s">
        <v>251</v>
      </c>
      <c r="J876" s="24">
        <v>12</v>
      </c>
      <c r="K876" s="32">
        <f>VLOOKUP(E876,照明設備稼働時間!$A$4:$E$31,5,FALSE)</f>
        <v>484</v>
      </c>
      <c r="L876" s="32" t="str">
        <f t="shared" si="26"/>
        <v>FHF32W1笠付</v>
      </c>
      <c r="M876" s="14">
        <f>VLOOKUP(L876,照明器具一覧!$B$4:$F$129,5,FALSE)</f>
        <v>36</v>
      </c>
      <c r="N876" s="14">
        <v>1</v>
      </c>
      <c r="O876" s="142">
        <f t="shared" si="27"/>
        <v>209.08799999999999</v>
      </c>
    </row>
    <row r="877" spans="1:15">
      <c r="O877" s="143">
        <f>SUM(O4:O876)</f>
        <v>654836.14347600087</v>
      </c>
    </row>
    <row r="878" spans="1:15">
      <c r="O878" s="106"/>
    </row>
  </sheetData>
  <autoFilter ref="A3:O878" xr:uid="{99E8A804-E3E5-41E0-BC67-77C56A4BEA86}"/>
  <phoneticPr fontId="2"/>
  <dataValidations count="3">
    <dataValidation type="list" allowBlank="1" showInputMessage="1" sqref="G4:G8" xr:uid="{3465DA6E-7208-4936-80F1-217C4C9FBFB7}">
      <formula1>"FLR40W,FLR40W 非常用,"</formula1>
    </dataValidation>
    <dataValidation allowBlank="1" showInputMessage="1" showErrorMessage="1" sqref="I4:I8 G59:G60 G40:G57 F40:F41 F9:G39 F55:F60 F120:F137 F64:G118 I222:I229 F142:G229 F249:G304 F317:G373 I398 I413:I415 I438 I435:I436 F386:G438 F848:G876 I850:I856" xr:uid="{1273DB64-C5D0-4B10-8AC2-E036F391CBC1}"/>
    <dataValidation type="list" allowBlank="1" showInputMessage="1" showErrorMessage="1" sqref="B4:B876" xr:uid="{601A5F99-1B5C-4871-B153-501A86E35156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99" orientation="landscape" r:id="rId1"/>
  <rowBreaks count="10" manualBreakCount="10">
    <brk id="8" max="14" man="1"/>
    <brk id="141" max="16383" man="1"/>
    <brk id="248" max="16383" man="1"/>
    <brk id="316" max="14" man="1"/>
    <brk id="385" max="16383" man="1"/>
    <brk id="451" max="16383" man="1"/>
    <brk id="520" max="16383" man="1"/>
    <brk id="705" max="14" man="1"/>
    <brk id="743" max="14" man="1"/>
    <brk id="84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54477E-33D9-48FF-A894-6C728CD583A4}">
          <x14:formula1>
            <xm:f>照明設備稼働時間!$A$4:$A$31</xm:f>
          </x14:formula1>
          <xm:sqref>E4:E876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C7F8-B05B-486A-9EE5-A8F6FC6ACCFA}">
  <dimension ref="A1:O38"/>
  <sheetViews>
    <sheetView view="pageBreakPreview" topLeftCell="A4" zoomScaleNormal="115" zoomScaleSheetLayoutView="100" workbookViewId="0">
      <selection activeCell="C13" sqref="C13"/>
    </sheetView>
  </sheetViews>
  <sheetFormatPr defaultRowHeight="17.649999999999999"/>
  <cols>
    <col min="1" max="1" width="20.125" customWidth="1"/>
    <col min="2" max="15" width="10.5625" customWidth="1"/>
  </cols>
  <sheetData>
    <row r="1" spans="1:15" ht="19.149999999999999">
      <c r="A1" s="105" t="s">
        <v>1549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>
      <c r="A2" s="100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74" t="s">
        <v>1524</v>
      </c>
      <c r="B3" s="104" t="s">
        <v>1535</v>
      </c>
      <c r="C3" s="104" t="s">
        <v>1536</v>
      </c>
      <c r="D3" s="104" t="s">
        <v>1537</v>
      </c>
      <c r="E3" s="104" t="s">
        <v>1538</v>
      </c>
      <c r="F3" s="104" t="s">
        <v>1539</v>
      </c>
      <c r="G3" s="104" t="s">
        <v>1540</v>
      </c>
      <c r="H3" s="104" t="s">
        <v>1541</v>
      </c>
      <c r="I3" s="104" t="s">
        <v>1542</v>
      </c>
      <c r="J3" s="104" t="s">
        <v>1543</v>
      </c>
      <c r="K3" s="104" t="s">
        <v>1544</v>
      </c>
      <c r="L3" s="104" t="s">
        <v>1545</v>
      </c>
      <c r="M3" s="104" t="s">
        <v>1546</v>
      </c>
      <c r="N3" s="104" t="s">
        <v>1548</v>
      </c>
      <c r="O3" s="104" t="s">
        <v>1547</v>
      </c>
    </row>
    <row r="4" spans="1:15">
      <c r="A4" s="74" t="s">
        <v>1526</v>
      </c>
      <c r="B4" s="101">
        <v>128318</v>
      </c>
      <c r="C4" s="101">
        <v>128069</v>
      </c>
      <c r="D4" s="101">
        <v>141523</v>
      </c>
      <c r="E4" s="101">
        <v>191366</v>
      </c>
      <c r="F4" s="101">
        <v>208327</v>
      </c>
      <c r="G4" s="101">
        <v>173599</v>
      </c>
      <c r="H4" s="101">
        <v>173599</v>
      </c>
      <c r="I4" s="101">
        <v>133656</v>
      </c>
      <c r="J4" s="101">
        <v>153718</v>
      </c>
      <c r="K4" s="101">
        <v>156094</v>
      </c>
      <c r="L4" s="101"/>
      <c r="M4" s="101"/>
      <c r="N4" s="101">
        <f>SUM(B4:M4)</f>
        <v>1588269</v>
      </c>
      <c r="O4" s="101">
        <f>AVERAGE(B4:K4)</f>
        <v>158826.9</v>
      </c>
    </row>
    <row r="5" spans="1:15">
      <c r="A5" s="74" t="s">
        <v>1527</v>
      </c>
      <c r="B5" s="74">
        <v>21.75</v>
      </c>
      <c r="C5" s="74">
        <v>21.75</v>
      </c>
      <c r="D5" s="74">
        <v>21.75</v>
      </c>
      <c r="E5" s="74">
        <v>21.75</v>
      </c>
      <c r="F5" s="74">
        <v>21.75</v>
      </c>
      <c r="G5" s="74">
        <v>21.75</v>
      </c>
      <c r="H5" s="74">
        <v>21.75</v>
      </c>
      <c r="I5" s="74">
        <v>20.96</v>
      </c>
      <c r="J5" s="74">
        <v>20.96</v>
      </c>
      <c r="K5" s="74">
        <v>20.96</v>
      </c>
      <c r="L5" s="74"/>
      <c r="M5" s="74"/>
      <c r="N5" s="74"/>
      <c r="O5" s="74">
        <f t="shared" ref="O5:O8" si="0">AVERAGE(B5:K5)</f>
        <v>21.513000000000002</v>
      </c>
    </row>
    <row r="6" spans="1:15">
      <c r="A6" s="74" t="s">
        <v>1528</v>
      </c>
      <c r="B6" s="74">
        <v>-2.38</v>
      </c>
      <c r="C6" s="74">
        <v>-2.72</v>
      </c>
      <c r="D6" s="74">
        <v>-2.0699999999999998</v>
      </c>
      <c r="E6" s="74">
        <v>-1.28</v>
      </c>
      <c r="F6" s="74">
        <v>-1.24</v>
      </c>
      <c r="G6" s="74">
        <v>-3.16</v>
      </c>
      <c r="H6" s="74">
        <v>-3.16</v>
      </c>
      <c r="I6" s="74">
        <v>-1.91</v>
      </c>
      <c r="J6" s="74">
        <v>-0.77</v>
      </c>
      <c r="K6" s="74">
        <v>-1.06</v>
      </c>
      <c r="L6" s="74"/>
      <c r="M6" s="74"/>
      <c r="N6" s="74"/>
      <c r="O6" s="74">
        <f t="shared" si="0"/>
        <v>-1.9749999999999996</v>
      </c>
    </row>
    <row r="7" spans="1:15">
      <c r="A7" s="74" t="s">
        <v>1529</v>
      </c>
      <c r="B7" s="74">
        <v>1.4</v>
      </c>
      <c r="C7" s="74">
        <v>3.49</v>
      </c>
      <c r="D7" s="74">
        <v>3.49</v>
      </c>
      <c r="E7" s="74">
        <v>3.49</v>
      </c>
      <c r="F7" s="74">
        <v>3.49</v>
      </c>
      <c r="G7" s="74">
        <v>3.49</v>
      </c>
      <c r="H7" s="74">
        <v>3.49</v>
      </c>
      <c r="I7" s="74">
        <v>3.49</v>
      </c>
      <c r="J7" s="74">
        <v>3.49</v>
      </c>
      <c r="K7" s="74">
        <v>3.49</v>
      </c>
      <c r="L7" s="74">
        <v>3.49</v>
      </c>
      <c r="M7" s="74">
        <v>3.49</v>
      </c>
      <c r="N7" s="74"/>
      <c r="O7" s="74">
        <f t="shared" si="0"/>
        <v>3.281000000000001</v>
      </c>
    </row>
    <row r="8" spans="1:15">
      <c r="A8" s="74" t="s">
        <v>1530</v>
      </c>
      <c r="B8" s="74">
        <f>SUM(B5:B7)</f>
        <v>20.77</v>
      </c>
      <c r="C8" s="74">
        <f t="shared" ref="C8:M8" si="1">SUM(C5:C7)</f>
        <v>22.520000000000003</v>
      </c>
      <c r="D8" s="74">
        <f t="shared" si="1"/>
        <v>23.17</v>
      </c>
      <c r="E8" s="74">
        <f t="shared" si="1"/>
        <v>23.96</v>
      </c>
      <c r="F8" s="74">
        <f t="shared" si="1"/>
        <v>24</v>
      </c>
      <c r="G8" s="74">
        <f t="shared" si="1"/>
        <v>22.08</v>
      </c>
      <c r="H8" s="74">
        <f t="shared" si="1"/>
        <v>22.08</v>
      </c>
      <c r="I8" s="74">
        <f t="shared" si="1"/>
        <v>22.54</v>
      </c>
      <c r="J8" s="74">
        <f t="shared" si="1"/>
        <v>23.68</v>
      </c>
      <c r="K8" s="74">
        <f t="shared" si="1"/>
        <v>23.39</v>
      </c>
      <c r="L8" s="74">
        <f t="shared" si="1"/>
        <v>3.49</v>
      </c>
      <c r="M8" s="74">
        <f t="shared" si="1"/>
        <v>3.49</v>
      </c>
      <c r="N8" s="74"/>
      <c r="O8" s="102">
        <f t="shared" si="0"/>
        <v>22.818999999999999</v>
      </c>
    </row>
    <row r="9" spans="1:15">
      <c r="A9" s="10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>
      <c r="A10" s="74" t="s">
        <v>1531</v>
      </c>
      <c r="B10" s="104" t="s">
        <v>1535</v>
      </c>
      <c r="C10" s="104" t="s">
        <v>1536</v>
      </c>
      <c r="D10" s="104" t="s">
        <v>1537</v>
      </c>
      <c r="E10" s="104" t="s">
        <v>1538</v>
      </c>
      <c r="F10" s="104" t="s">
        <v>1539</v>
      </c>
      <c r="G10" s="104" t="s">
        <v>1540</v>
      </c>
      <c r="H10" s="104" t="s">
        <v>1541</v>
      </c>
      <c r="I10" s="104" t="s">
        <v>1542</v>
      </c>
      <c r="J10" s="104" t="s">
        <v>1543</v>
      </c>
      <c r="K10" s="104" t="s">
        <v>1544</v>
      </c>
      <c r="L10" s="104" t="s">
        <v>1545</v>
      </c>
      <c r="M10" s="104" t="s">
        <v>1546</v>
      </c>
      <c r="N10" s="104"/>
      <c r="O10" s="104" t="s">
        <v>1547</v>
      </c>
    </row>
    <row r="11" spans="1:15">
      <c r="A11" s="74" t="s">
        <v>1526</v>
      </c>
      <c r="B11" s="101">
        <v>135151</v>
      </c>
      <c r="C11" s="101">
        <v>121147</v>
      </c>
      <c r="D11" s="101">
        <v>148695</v>
      </c>
      <c r="E11" s="101">
        <v>180406</v>
      </c>
      <c r="F11" s="101">
        <v>229402</v>
      </c>
      <c r="G11" s="101">
        <v>189041</v>
      </c>
      <c r="H11" s="101">
        <v>135742</v>
      </c>
      <c r="I11" s="101">
        <v>130459</v>
      </c>
      <c r="J11" s="101">
        <v>151918</v>
      </c>
      <c r="K11" s="101">
        <v>150175</v>
      </c>
      <c r="L11" s="101">
        <v>143554</v>
      </c>
      <c r="M11" s="101">
        <v>150737</v>
      </c>
      <c r="N11" s="101">
        <f>SUM(B11:M11)</f>
        <v>1866427</v>
      </c>
      <c r="O11" s="101">
        <f>AVERAGE(B11:M11)</f>
        <v>155535.58333333334</v>
      </c>
    </row>
    <row r="12" spans="1:15">
      <c r="A12" s="74" t="s">
        <v>1527</v>
      </c>
      <c r="B12" s="74">
        <v>33.24</v>
      </c>
      <c r="C12" s="74">
        <v>33.24</v>
      </c>
      <c r="D12" s="74">
        <v>33.24</v>
      </c>
      <c r="E12" s="74">
        <v>33.24</v>
      </c>
      <c r="F12" s="74">
        <v>33.24</v>
      </c>
      <c r="G12" s="74">
        <v>33.24</v>
      </c>
      <c r="H12" s="74">
        <v>31.7</v>
      </c>
      <c r="I12" s="74">
        <v>31.7</v>
      </c>
      <c r="J12" s="74">
        <v>31.7</v>
      </c>
      <c r="K12" s="74">
        <v>31.7</v>
      </c>
      <c r="L12" s="74">
        <v>31.7</v>
      </c>
      <c r="M12" s="74">
        <v>31.7</v>
      </c>
      <c r="N12" s="74"/>
      <c r="O12" s="74">
        <f>AVERAGE(B12:M12)</f>
        <v>32.47</v>
      </c>
    </row>
    <row r="13" spans="1:15">
      <c r="A13" s="74" t="s">
        <v>1528</v>
      </c>
      <c r="B13" s="74">
        <v>-5.38</v>
      </c>
      <c r="C13" s="74">
        <v>-7.03</v>
      </c>
      <c r="D13" s="74">
        <v>-9.14</v>
      </c>
      <c r="E13" s="74">
        <v>-10.92</v>
      </c>
      <c r="F13" s="74">
        <v>-12.31</v>
      </c>
      <c r="G13" s="74">
        <v>-13.19</v>
      </c>
      <c r="H13" s="74">
        <v>-11.95</v>
      </c>
      <c r="I13" s="74">
        <v>-12.11</v>
      </c>
      <c r="J13" s="74">
        <v>-12.01</v>
      </c>
      <c r="K13" s="74">
        <v>-11.77</v>
      </c>
      <c r="L13" s="74">
        <v>-11.63</v>
      </c>
      <c r="M13" s="74">
        <v>-11.77</v>
      </c>
      <c r="N13" s="74"/>
      <c r="O13" s="74">
        <f>AVERAGE(B13:M13)</f>
        <v>-10.7675</v>
      </c>
    </row>
    <row r="14" spans="1:15">
      <c r="A14" s="74" t="s">
        <v>1529</v>
      </c>
      <c r="B14" s="74">
        <v>3.45</v>
      </c>
      <c r="C14" s="74">
        <v>1.4</v>
      </c>
      <c r="D14" s="74">
        <v>1.4</v>
      </c>
      <c r="E14" s="74">
        <v>1.4</v>
      </c>
      <c r="F14" s="74">
        <v>1.4</v>
      </c>
      <c r="G14" s="74">
        <v>1.4</v>
      </c>
      <c r="H14" s="74">
        <v>1.4</v>
      </c>
      <c r="I14" s="74">
        <v>1.4</v>
      </c>
      <c r="J14" s="74">
        <v>1.4</v>
      </c>
      <c r="K14" s="74">
        <v>1.4</v>
      </c>
      <c r="L14" s="74">
        <v>1.4</v>
      </c>
      <c r="M14" s="74">
        <v>1.4</v>
      </c>
      <c r="N14" s="74"/>
      <c r="O14" s="74">
        <f>AVERAGE(B14:M14)</f>
        <v>1.5708333333333331</v>
      </c>
    </row>
    <row r="15" spans="1:15">
      <c r="A15" s="74" t="s">
        <v>1530</v>
      </c>
      <c r="B15" s="74">
        <f>SUM(B12:B14)</f>
        <v>31.310000000000002</v>
      </c>
      <c r="C15" s="74">
        <f t="shared" ref="C15:M15" si="2">SUM(C12:C14)</f>
        <v>27.61</v>
      </c>
      <c r="D15" s="74">
        <f t="shared" si="2"/>
        <v>25.5</v>
      </c>
      <c r="E15" s="74">
        <f t="shared" si="2"/>
        <v>23.72</v>
      </c>
      <c r="F15" s="74">
        <f t="shared" si="2"/>
        <v>22.33</v>
      </c>
      <c r="G15" s="74">
        <f t="shared" si="2"/>
        <v>21.450000000000003</v>
      </c>
      <c r="H15" s="74">
        <f t="shared" si="2"/>
        <v>21.15</v>
      </c>
      <c r="I15" s="74">
        <f t="shared" si="2"/>
        <v>20.99</v>
      </c>
      <c r="J15" s="74">
        <f t="shared" si="2"/>
        <v>21.089999999999996</v>
      </c>
      <c r="K15" s="74">
        <f t="shared" si="2"/>
        <v>21.33</v>
      </c>
      <c r="L15" s="74">
        <f t="shared" si="2"/>
        <v>21.47</v>
      </c>
      <c r="M15" s="74">
        <f t="shared" si="2"/>
        <v>21.33</v>
      </c>
      <c r="N15" s="74"/>
      <c r="O15" s="102">
        <f t="shared" ref="O15" si="3">AVERAGE(B15:K15)</f>
        <v>23.648000000000003</v>
      </c>
    </row>
    <row r="16" spans="1:1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>
      <c r="A17" s="74" t="s">
        <v>1532</v>
      </c>
      <c r="B17" s="104" t="s">
        <v>1535</v>
      </c>
      <c r="C17" s="104" t="s">
        <v>1536</v>
      </c>
      <c r="D17" s="104" t="s">
        <v>1537</v>
      </c>
      <c r="E17" s="104" t="s">
        <v>1538</v>
      </c>
      <c r="F17" s="104" t="s">
        <v>1539</v>
      </c>
      <c r="G17" s="104" t="s">
        <v>1540</v>
      </c>
      <c r="H17" s="104" t="s">
        <v>1541</v>
      </c>
      <c r="I17" s="104" t="s">
        <v>1542</v>
      </c>
      <c r="J17" s="104" t="s">
        <v>1543</v>
      </c>
      <c r="K17" s="104" t="s">
        <v>1544</v>
      </c>
      <c r="L17" s="104" t="s">
        <v>1545</v>
      </c>
      <c r="M17" s="104" t="s">
        <v>1546</v>
      </c>
      <c r="N17" s="104"/>
      <c r="O17" s="104" t="s">
        <v>1547</v>
      </c>
    </row>
    <row r="18" spans="1:15">
      <c r="A18" s="74" t="s">
        <v>1526</v>
      </c>
      <c r="B18" s="101">
        <v>130001</v>
      </c>
      <c r="C18" s="101">
        <v>116405</v>
      </c>
      <c r="D18" s="101">
        <v>137376</v>
      </c>
      <c r="E18" s="101">
        <v>175277</v>
      </c>
      <c r="F18" s="101">
        <v>194918</v>
      </c>
      <c r="G18" s="101">
        <v>159259</v>
      </c>
      <c r="H18" s="101">
        <v>129977</v>
      </c>
      <c r="I18" s="101">
        <v>129223</v>
      </c>
      <c r="J18" s="101">
        <v>156106</v>
      </c>
      <c r="K18" s="101">
        <v>155160</v>
      </c>
      <c r="L18" s="101">
        <v>143575</v>
      </c>
      <c r="M18" s="101">
        <v>149244</v>
      </c>
      <c r="N18" s="101">
        <f>SUM(B18:M18)</f>
        <v>1776521</v>
      </c>
      <c r="O18" s="101">
        <f>AVERAGE(B18:M18)</f>
        <v>148043.41666666666</v>
      </c>
    </row>
    <row r="19" spans="1:15">
      <c r="A19" s="74" t="s">
        <v>1527</v>
      </c>
      <c r="B19" s="74">
        <v>17.27</v>
      </c>
      <c r="C19" s="74">
        <v>17.27</v>
      </c>
      <c r="D19" s="74">
        <v>18.45</v>
      </c>
      <c r="E19" s="74">
        <v>18.45</v>
      </c>
      <c r="F19" s="74">
        <v>18.45</v>
      </c>
      <c r="G19" s="74">
        <v>18.45</v>
      </c>
      <c r="H19" s="74">
        <v>18.45</v>
      </c>
      <c r="I19" s="74">
        <v>18.45</v>
      </c>
      <c r="J19" s="74">
        <v>18.45</v>
      </c>
      <c r="K19" s="74">
        <v>18.45</v>
      </c>
      <c r="L19" s="74">
        <v>18.45</v>
      </c>
      <c r="M19" s="74">
        <v>18.45</v>
      </c>
      <c r="N19" s="74"/>
      <c r="O19" s="74">
        <f t="shared" ref="O19:O22" si="4">AVERAGE(B19:M19)</f>
        <v>18.25333333333333</v>
      </c>
    </row>
    <row r="20" spans="1:15">
      <c r="A20" s="74" t="s">
        <v>1528</v>
      </c>
      <c r="B20" s="74">
        <v>1.34</v>
      </c>
      <c r="C20" s="74">
        <v>1.49</v>
      </c>
      <c r="D20" s="74">
        <v>1.85</v>
      </c>
      <c r="E20" s="74">
        <v>3.1</v>
      </c>
      <c r="F20" s="74">
        <v>4.55</v>
      </c>
      <c r="G20" s="74">
        <v>6.54</v>
      </c>
      <c r="H20" s="74">
        <v>8.0500000000000007</v>
      </c>
      <c r="I20" s="74">
        <v>8.94</v>
      </c>
      <c r="J20" s="74">
        <v>9.36</v>
      </c>
      <c r="K20" s="74">
        <v>9.51</v>
      </c>
      <c r="L20" s="74">
        <v>6.35</v>
      </c>
      <c r="M20" s="74">
        <v>5.8</v>
      </c>
      <c r="N20" s="74"/>
      <c r="O20" s="74">
        <f t="shared" si="4"/>
        <v>5.5733333333333333</v>
      </c>
    </row>
    <row r="21" spans="1:15">
      <c r="A21" s="74" t="s">
        <v>1529</v>
      </c>
      <c r="B21" s="74">
        <v>3.36</v>
      </c>
      <c r="C21" s="74">
        <v>3.45</v>
      </c>
      <c r="D21" s="74">
        <v>3.45</v>
      </c>
      <c r="E21" s="74">
        <v>3.45</v>
      </c>
      <c r="F21" s="74">
        <v>3.45</v>
      </c>
      <c r="G21" s="74">
        <v>3.45</v>
      </c>
      <c r="H21" s="74">
        <v>3.45</v>
      </c>
      <c r="I21" s="74">
        <v>3.45</v>
      </c>
      <c r="J21" s="74">
        <v>3.45</v>
      </c>
      <c r="K21" s="74">
        <v>3.45</v>
      </c>
      <c r="L21" s="74">
        <v>3.45</v>
      </c>
      <c r="M21" s="74">
        <v>3.45</v>
      </c>
      <c r="N21" s="74"/>
      <c r="O21" s="74">
        <f t="shared" si="4"/>
        <v>3.4425000000000003</v>
      </c>
    </row>
    <row r="22" spans="1:15">
      <c r="A22" s="74" t="s">
        <v>1530</v>
      </c>
      <c r="B22" s="74">
        <f>SUM(B19:B21)</f>
        <v>21.97</v>
      </c>
      <c r="C22" s="74">
        <f t="shared" ref="C22:M22" si="5">SUM(C19:C21)</f>
        <v>22.209999999999997</v>
      </c>
      <c r="D22" s="74">
        <f t="shared" si="5"/>
        <v>23.75</v>
      </c>
      <c r="E22" s="74">
        <f t="shared" si="5"/>
        <v>25</v>
      </c>
      <c r="F22" s="74">
        <f t="shared" si="5"/>
        <v>26.45</v>
      </c>
      <c r="G22" s="74">
        <f t="shared" si="5"/>
        <v>28.439999999999998</v>
      </c>
      <c r="H22" s="74">
        <f t="shared" si="5"/>
        <v>29.95</v>
      </c>
      <c r="I22" s="74">
        <f t="shared" si="5"/>
        <v>30.84</v>
      </c>
      <c r="J22" s="74">
        <f t="shared" si="5"/>
        <v>31.259999999999998</v>
      </c>
      <c r="K22" s="74">
        <f t="shared" si="5"/>
        <v>31.41</v>
      </c>
      <c r="L22" s="74">
        <f t="shared" si="5"/>
        <v>28.249999999999996</v>
      </c>
      <c r="M22" s="74">
        <f t="shared" si="5"/>
        <v>27.7</v>
      </c>
      <c r="N22" s="74"/>
      <c r="O22" s="102">
        <f t="shared" si="4"/>
        <v>27.269166666666663</v>
      </c>
    </row>
    <row r="23" spans="1: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>
      <c r="A24" s="74" t="s">
        <v>1533</v>
      </c>
      <c r="B24" s="74">
        <v>4</v>
      </c>
      <c r="C24" s="74">
        <v>5</v>
      </c>
      <c r="D24" s="74">
        <v>6</v>
      </c>
      <c r="E24" s="74">
        <v>7</v>
      </c>
      <c r="F24" s="74">
        <v>8</v>
      </c>
      <c r="G24" s="74">
        <v>9</v>
      </c>
      <c r="H24" s="74">
        <v>10</v>
      </c>
      <c r="I24" s="74">
        <v>11</v>
      </c>
      <c r="J24" s="74">
        <v>12</v>
      </c>
      <c r="K24" s="74">
        <v>1</v>
      </c>
      <c r="L24" s="74">
        <v>2</v>
      </c>
      <c r="M24" s="74">
        <v>3</v>
      </c>
      <c r="N24" s="74"/>
      <c r="O24" s="74" t="s">
        <v>1525</v>
      </c>
    </row>
    <row r="25" spans="1:15">
      <c r="A25" s="74" t="s">
        <v>1526</v>
      </c>
      <c r="B25" s="101">
        <v>137050</v>
      </c>
      <c r="C25" s="101">
        <v>119971</v>
      </c>
      <c r="D25" s="101">
        <v>132610</v>
      </c>
      <c r="E25" s="101">
        <v>180521</v>
      </c>
      <c r="F25" s="101">
        <v>201550</v>
      </c>
      <c r="G25" s="101">
        <v>168926</v>
      </c>
      <c r="H25" s="101">
        <v>160771</v>
      </c>
      <c r="I25" s="101">
        <v>137042</v>
      </c>
      <c r="J25" s="101">
        <v>145704</v>
      </c>
      <c r="K25" s="101">
        <v>151812</v>
      </c>
      <c r="L25" s="101">
        <v>140095</v>
      </c>
      <c r="M25" s="101">
        <v>154788</v>
      </c>
      <c r="N25" s="101"/>
      <c r="O25" s="101">
        <f>AVERAGE(B25:M25)</f>
        <v>152570</v>
      </c>
    </row>
    <row r="26" spans="1:15">
      <c r="A26" s="74" t="s">
        <v>1527</v>
      </c>
      <c r="B26" s="103">
        <v>17.27</v>
      </c>
      <c r="C26" s="103">
        <v>17.27</v>
      </c>
      <c r="D26" s="103">
        <v>17.27</v>
      </c>
      <c r="E26" s="103">
        <v>17.27</v>
      </c>
      <c r="F26" s="103">
        <v>17.27</v>
      </c>
      <c r="G26" s="103">
        <v>17.27</v>
      </c>
      <c r="H26" s="74">
        <v>17.27</v>
      </c>
      <c r="I26" s="74">
        <v>17.27</v>
      </c>
      <c r="J26" s="74">
        <v>17.27</v>
      </c>
      <c r="K26" s="74">
        <v>17.27</v>
      </c>
      <c r="L26" s="74">
        <v>17.27</v>
      </c>
      <c r="M26" s="74">
        <v>17.27</v>
      </c>
      <c r="N26" s="74"/>
      <c r="O26" s="74">
        <f t="shared" ref="O26:O29" si="6">AVERAGE(B26:M26)</f>
        <v>17.270000000000003</v>
      </c>
    </row>
    <row r="27" spans="1:15">
      <c r="A27" s="74" t="s">
        <v>1528</v>
      </c>
      <c r="B27" s="74">
        <v>-3.19</v>
      </c>
      <c r="C27" s="74">
        <v>-2.87</v>
      </c>
      <c r="D27" s="74">
        <v>-2.38</v>
      </c>
      <c r="E27" s="74">
        <v>-1.87</v>
      </c>
      <c r="F27" s="74">
        <v>-1.53</v>
      </c>
      <c r="G27" s="74">
        <v>-1.23</v>
      </c>
      <c r="H27" s="74">
        <v>-0.95</v>
      </c>
      <c r="I27" s="74">
        <v>-0.56999999999999995</v>
      </c>
      <c r="J27" s="74">
        <v>-0.26</v>
      </c>
      <c r="K27" s="74">
        <v>0.06</v>
      </c>
      <c r="L27" s="74">
        <v>0.6</v>
      </c>
      <c r="M27" s="74">
        <v>1.1200000000000001</v>
      </c>
      <c r="N27" s="74"/>
      <c r="O27" s="74">
        <f t="shared" si="6"/>
        <v>-1.0891666666666666</v>
      </c>
    </row>
    <row r="28" spans="1:15">
      <c r="A28" s="74" t="s">
        <v>1529</v>
      </c>
      <c r="B28" s="74">
        <v>2.98</v>
      </c>
      <c r="C28" s="74">
        <v>3.36</v>
      </c>
      <c r="D28" s="74">
        <v>3.36</v>
      </c>
      <c r="E28" s="74">
        <v>3.36</v>
      </c>
      <c r="F28" s="74">
        <v>3.36</v>
      </c>
      <c r="G28" s="74">
        <v>3.36</v>
      </c>
      <c r="H28" s="74">
        <v>3.36</v>
      </c>
      <c r="I28" s="74">
        <v>3.36</v>
      </c>
      <c r="J28" s="74">
        <v>3.36</v>
      </c>
      <c r="K28" s="74">
        <v>3.36</v>
      </c>
      <c r="L28" s="74">
        <v>3.36</v>
      </c>
      <c r="M28" s="74">
        <v>3.36</v>
      </c>
      <c r="N28" s="74"/>
      <c r="O28" s="74">
        <f t="shared" si="6"/>
        <v>3.3283333333333331</v>
      </c>
    </row>
    <row r="29" spans="1:15">
      <c r="A29" s="74" t="s">
        <v>1530</v>
      </c>
      <c r="B29" s="74">
        <f>SUM(B26:B28)</f>
        <v>17.059999999999999</v>
      </c>
      <c r="C29" s="74">
        <f t="shared" ref="C29:M29" si="7">SUM(C26:C28)</f>
        <v>17.759999999999998</v>
      </c>
      <c r="D29" s="74">
        <f t="shared" si="7"/>
        <v>18.25</v>
      </c>
      <c r="E29" s="74">
        <f t="shared" si="7"/>
        <v>18.759999999999998</v>
      </c>
      <c r="F29" s="74">
        <f t="shared" si="7"/>
        <v>19.100000000000001</v>
      </c>
      <c r="G29" s="74">
        <f t="shared" si="7"/>
        <v>19.399999999999999</v>
      </c>
      <c r="H29" s="74">
        <f t="shared" si="7"/>
        <v>19.68</v>
      </c>
      <c r="I29" s="74">
        <f t="shared" si="7"/>
        <v>20.059999999999999</v>
      </c>
      <c r="J29" s="74">
        <f t="shared" si="7"/>
        <v>20.369999999999997</v>
      </c>
      <c r="K29" s="74">
        <f t="shared" si="7"/>
        <v>20.689999999999998</v>
      </c>
      <c r="L29" s="74">
        <f t="shared" si="7"/>
        <v>21.23</v>
      </c>
      <c r="M29" s="74">
        <f t="shared" si="7"/>
        <v>21.75</v>
      </c>
      <c r="N29" s="74"/>
      <c r="O29" s="102">
        <f t="shared" si="6"/>
        <v>19.509166666666665</v>
      </c>
    </row>
    <row r="30" spans="1:1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5">
      <c r="A31" s="74" t="s">
        <v>1534</v>
      </c>
      <c r="B31" s="74">
        <v>4</v>
      </c>
      <c r="C31" s="74">
        <v>5</v>
      </c>
      <c r="D31" s="74">
        <v>6</v>
      </c>
      <c r="E31" s="74">
        <v>7</v>
      </c>
      <c r="F31" s="74">
        <v>8</v>
      </c>
      <c r="G31" s="74">
        <v>9</v>
      </c>
      <c r="H31" s="74">
        <v>10</v>
      </c>
      <c r="I31" s="74">
        <v>11</v>
      </c>
      <c r="J31" s="74">
        <v>12</v>
      </c>
      <c r="K31" s="74">
        <v>1</v>
      </c>
      <c r="L31" s="74">
        <v>2</v>
      </c>
      <c r="M31" s="74">
        <v>3</v>
      </c>
      <c r="N31" s="74"/>
      <c r="O31" s="74" t="s">
        <v>1525</v>
      </c>
    </row>
    <row r="32" spans="1:15">
      <c r="A32" s="74" t="s">
        <v>1526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 t="e">
        <f>AVERAGE(B32:M32)</f>
        <v>#DIV/0!</v>
      </c>
    </row>
    <row r="33" spans="1:15">
      <c r="A33" s="74" t="s">
        <v>1527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 t="e">
        <f t="shared" ref="O33:O36" si="8">AVERAGE(B33:M33)</f>
        <v>#DIV/0!</v>
      </c>
    </row>
    <row r="34" spans="1:15">
      <c r="A34" s="74" t="s">
        <v>1528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 t="e">
        <f t="shared" si="8"/>
        <v>#DIV/0!</v>
      </c>
    </row>
    <row r="35" spans="1:15">
      <c r="A35" s="74" t="s">
        <v>1529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 t="e">
        <f t="shared" si="8"/>
        <v>#DIV/0!</v>
      </c>
    </row>
    <row r="36" spans="1:15">
      <c r="A36" s="74" t="s">
        <v>1530</v>
      </c>
      <c r="B36" s="74">
        <f>SUM(B33:B35)</f>
        <v>0</v>
      </c>
      <c r="C36" s="74">
        <f t="shared" ref="C36:M36" si="9">SUM(C33:C35)</f>
        <v>0</v>
      </c>
      <c r="D36" s="74">
        <f t="shared" si="9"/>
        <v>0</v>
      </c>
      <c r="E36" s="74">
        <f t="shared" si="9"/>
        <v>0</v>
      </c>
      <c r="F36" s="74">
        <f t="shared" si="9"/>
        <v>0</v>
      </c>
      <c r="G36" s="74">
        <f t="shared" si="9"/>
        <v>0</v>
      </c>
      <c r="H36" s="74">
        <f t="shared" si="9"/>
        <v>0</v>
      </c>
      <c r="I36" s="74">
        <f t="shared" si="9"/>
        <v>0</v>
      </c>
      <c r="J36" s="74">
        <f t="shared" si="9"/>
        <v>0</v>
      </c>
      <c r="K36" s="74">
        <f t="shared" si="9"/>
        <v>0</v>
      </c>
      <c r="L36" s="74">
        <f t="shared" si="9"/>
        <v>0</v>
      </c>
      <c r="M36" s="74">
        <f t="shared" si="9"/>
        <v>0</v>
      </c>
      <c r="N36" s="74"/>
      <c r="O36" s="102">
        <f t="shared" si="8"/>
        <v>0</v>
      </c>
    </row>
    <row r="38" spans="1:15">
      <c r="B38" s="99"/>
      <c r="C38" s="9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1466-FF39-43CB-9F26-6197E5A354A2}">
  <dimension ref="A2:M7"/>
  <sheetViews>
    <sheetView workbookViewId="0">
      <selection activeCell="C13" sqref="C13"/>
    </sheetView>
  </sheetViews>
  <sheetFormatPr defaultRowHeight="17.649999999999999"/>
  <sheetData>
    <row r="2" spans="1:13" ht="18" thickBot="1">
      <c r="A2" t="s">
        <v>342</v>
      </c>
    </row>
    <row r="3" spans="1:13" ht="18" thickBot="1">
      <c r="A3" s="1"/>
      <c r="B3" s="1" t="s">
        <v>469</v>
      </c>
      <c r="C3" s="1" t="s">
        <v>343</v>
      </c>
      <c r="D3" s="1" t="s">
        <v>345</v>
      </c>
      <c r="E3" s="1" t="s">
        <v>346</v>
      </c>
      <c r="F3" s="1" t="s">
        <v>318</v>
      </c>
      <c r="G3" s="1" t="s">
        <v>260</v>
      </c>
      <c r="H3" s="1" t="s">
        <v>16</v>
      </c>
      <c r="I3" s="1" t="s">
        <v>99</v>
      </c>
      <c r="J3" s="1" t="s">
        <v>133</v>
      </c>
      <c r="K3" s="1" t="s">
        <v>171</v>
      </c>
      <c r="L3" s="64" t="s">
        <v>226</v>
      </c>
      <c r="M3" s="65" t="s">
        <v>348</v>
      </c>
    </row>
    <row r="4" spans="1:13" ht="18" thickBot="1">
      <c r="A4" s="1" t="s">
        <v>347</v>
      </c>
      <c r="B4" s="1">
        <v>75</v>
      </c>
      <c r="C4" s="1">
        <v>496</v>
      </c>
      <c r="D4" s="1">
        <v>640</v>
      </c>
      <c r="E4" s="1">
        <v>705</v>
      </c>
      <c r="F4" s="1">
        <v>500</v>
      </c>
      <c r="G4" s="1">
        <v>566</v>
      </c>
      <c r="H4" s="1">
        <v>572</v>
      </c>
      <c r="I4" s="1">
        <v>655</v>
      </c>
      <c r="J4" s="1">
        <v>554</v>
      </c>
      <c r="K4" s="1">
        <v>927</v>
      </c>
      <c r="L4" s="64">
        <v>209</v>
      </c>
      <c r="M4" s="63">
        <f>SUM(B4:L4)</f>
        <v>5899</v>
      </c>
    </row>
    <row r="5" spans="1:13" ht="18" thickBot="1">
      <c r="A5" s="1" t="s">
        <v>77</v>
      </c>
      <c r="B5" s="1">
        <v>0</v>
      </c>
      <c r="C5" s="1">
        <v>21</v>
      </c>
      <c r="D5" s="1">
        <v>29</v>
      </c>
      <c r="E5" s="1">
        <v>17</v>
      </c>
      <c r="F5" s="1">
        <v>18</v>
      </c>
      <c r="G5" s="1">
        <v>18</v>
      </c>
      <c r="H5" s="1">
        <v>18</v>
      </c>
      <c r="I5" s="1">
        <v>19</v>
      </c>
      <c r="J5" s="1">
        <v>29</v>
      </c>
      <c r="K5" s="1">
        <v>29</v>
      </c>
      <c r="L5" s="64">
        <v>0</v>
      </c>
      <c r="M5" s="63">
        <f>SUM(B5:L5)</f>
        <v>198</v>
      </c>
    </row>
    <row r="6" spans="1:13" ht="18" thickBot="1">
      <c r="A6" s="1" t="s">
        <v>70</v>
      </c>
      <c r="B6" s="1">
        <v>0</v>
      </c>
      <c r="C6" s="1">
        <v>82</v>
      </c>
      <c r="D6" s="1">
        <v>95</v>
      </c>
      <c r="E6" s="1">
        <v>100</v>
      </c>
      <c r="F6" s="1">
        <v>84</v>
      </c>
      <c r="G6" s="1">
        <v>112</v>
      </c>
      <c r="H6" s="1">
        <v>98</v>
      </c>
      <c r="I6" s="1">
        <v>96</v>
      </c>
      <c r="J6" s="1">
        <v>98</v>
      </c>
      <c r="K6" s="1">
        <v>105</v>
      </c>
      <c r="L6" s="64">
        <v>0</v>
      </c>
      <c r="M6" s="63">
        <f>SUM(B6:L6)</f>
        <v>870</v>
      </c>
    </row>
    <row r="7" spans="1:13" ht="18" thickBot="1">
      <c r="B7">
        <f>SUM(B4:B6)</f>
        <v>75</v>
      </c>
      <c r="C7">
        <f>SUM(C4:C6)</f>
        <v>599</v>
      </c>
      <c r="D7">
        <f t="shared" ref="D7:L7" si="0">SUM(D4:D6)</f>
        <v>764</v>
      </c>
      <c r="E7">
        <f t="shared" si="0"/>
        <v>822</v>
      </c>
      <c r="F7">
        <f t="shared" si="0"/>
        <v>602</v>
      </c>
      <c r="G7">
        <f t="shared" si="0"/>
        <v>696</v>
      </c>
      <c r="H7">
        <f t="shared" si="0"/>
        <v>688</v>
      </c>
      <c r="I7">
        <f t="shared" si="0"/>
        <v>770</v>
      </c>
      <c r="J7">
        <f t="shared" si="0"/>
        <v>681</v>
      </c>
      <c r="K7">
        <f t="shared" si="0"/>
        <v>1061</v>
      </c>
      <c r="L7">
        <f t="shared" si="0"/>
        <v>209</v>
      </c>
      <c r="M7" s="63">
        <f>SUM(M4:M6)</f>
        <v>6967</v>
      </c>
    </row>
  </sheetData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9AD-AF22-41F6-8D22-F9A49DC910A9}">
  <sheetPr>
    <pageSetUpPr fitToPage="1"/>
  </sheetPr>
  <dimension ref="A1:L9"/>
  <sheetViews>
    <sheetView workbookViewId="0">
      <selection activeCell="C13" sqref="C13"/>
    </sheetView>
  </sheetViews>
  <sheetFormatPr defaultRowHeight="17.649999999999999"/>
  <cols>
    <col min="1" max="1" width="4.4375" customWidth="1"/>
    <col min="2" max="2" width="8.25" bestFit="1" customWidth="1"/>
    <col min="3" max="3" width="4.5" style="11" customWidth="1"/>
    <col min="4" max="4" width="23" style="11" bestFit="1" customWidth="1"/>
    <col min="5" max="5" width="21.375" style="18" bestFit="1" customWidth="1"/>
    <col min="6" max="6" width="4.8125" style="11" bestFit="1" customWidth="1"/>
    <col min="7" max="7" width="23.9375" style="18" customWidth="1"/>
    <col min="8" max="8" width="5.1875" style="18" customWidth="1"/>
    <col min="9" max="9" width="12.9375" style="18" bestFit="1" customWidth="1"/>
    <col min="10" max="10" width="15.4375" style="11" bestFit="1" customWidth="1"/>
    <col min="11" max="11" width="22.4375" style="11" customWidth="1"/>
    <col min="12" max="12" width="11.8125" style="11" bestFit="1" customWidth="1"/>
  </cols>
  <sheetData>
    <row r="1" spans="1:12" ht="22.9">
      <c r="A1" s="3" t="s">
        <v>15</v>
      </c>
    </row>
    <row r="2" spans="1:12">
      <c r="A2" s="1" t="s">
        <v>0</v>
      </c>
      <c r="B2" s="1" t="s">
        <v>14</v>
      </c>
      <c r="C2" s="12" t="s">
        <v>1</v>
      </c>
      <c r="D2" s="12" t="s">
        <v>13</v>
      </c>
      <c r="E2" s="19" t="s">
        <v>2</v>
      </c>
      <c r="F2" s="12" t="s">
        <v>3</v>
      </c>
      <c r="G2" s="19" t="s">
        <v>6</v>
      </c>
      <c r="H2" s="19" t="s">
        <v>4</v>
      </c>
      <c r="I2" s="19" t="s">
        <v>8</v>
      </c>
      <c r="J2" s="12" t="s">
        <v>5</v>
      </c>
      <c r="K2" s="12" t="s">
        <v>10</v>
      </c>
      <c r="L2" s="12" t="s">
        <v>7</v>
      </c>
    </row>
    <row r="3" spans="1:12">
      <c r="A3" s="1">
        <v>1</v>
      </c>
      <c r="B3" s="1"/>
      <c r="C3" s="12" t="s">
        <v>469</v>
      </c>
      <c r="D3" s="12" t="s">
        <v>460</v>
      </c>
      <c r="E3" s="51" t="s">
        <v>466</v>
      </c>
      <c r="F3" s="33">
        <v>1</v>
      </c>
      <c r="G3" s="23" t="s">
        <v>461</v>
      </c>
      <c r="H3" s="59">
        <v>20</v>
      </c>
      <c r="I3" s="32">
        <v>4745</v>
      </c>
      <c r="J3" s="12">
        <v>360</v>
      </c>
      <c r="K3" s="12"/>
      <c r="L3" s="12" t="s">
        <v>9</v>
      </c>
    </row>
    <row r="4" spans="1:12">
      <c r="A4" s="1">
        <v>2</v>
      </c>
      <c r="B4" s="1"/>
      <c r="C4" s="12" t="s">
        <v>469</v>
      </c>
      <c r="D4" s="12" t="s">
        <v>460</v>
      </c>
      <c r="E4" s="51" t="s">
        <v>467</v>
      </c>
      <c r="F4" s="33">
        <v>1</v>
      </c>
      <c r="G4" s="23" t="s">
        <v>462</v>
      </c>
      <c r="H4" s="24">
        <v>31</v>
      </c>
      <c r="I4" s="32">
        <v>4745</v>
      </c>
      <c r="J4" s="12">
        <v>40</v>
      </c>
      <c r="K4" s="12"/>
      <c r="L4" s="12" t="s">
        <v>9</v>
      </c>
    </row>
    <row r="5" spans="1:12">
      <c r="A5" s="1">
        <v>3</v>
      </c>
      <c r="B5" s="1"/>
      <c r="C5" s="12" t="s">
        <v>469</v>
      </c>
      <c r="D5" s="12" t="s">
        <v>460</v>
      </c>
      <c r="E5" s="51" t="s">
        <v>444</v>
      </c>
      <c r="F5" s="33">
        <v>1</v>
      </c>
      <c r="G5" s="23" t="s">
        <v>463</v>
      </c>
      <c r="H5" s="59">
        <v>20</v>
      </c>
      <c r="I5" s="32">
        <v>4745</v>
      </c>
      <c r="J5" s="12">
        <v>100</v>
      </c>
      <c r="K5" s="12"/>
      <c r="L5" s="12" t="s">
        <v>9</v>
      </c>
    </row>
    <row r="6" spans="1:12">
      <c r="A6" s="1">
        <v>4</v>
      </c>
      <c r="B6" s="1"/>
      <c r="C6" s="12" t="s">
        <v>469</v>
      </c>
      <c r="D6" s="12" t="s">
        <v>460</v>
      </c>
      <c r="E6" s="51" t="s">
        <v>468</v>
      </c>
      <c r="F6" s="33">
        <v>1</v>
      </c>
      <c r="G6" s="23" t="s">
        <v>464</v>
      </c>
      <c r="H6" s="24">
        <v>2</v>
      </c>
      <c r="I6" s="32">
        <v>4745</v>
      </c>
      <c r="J6" s="12">
        <v>250</v>
      </c>
      <c r="K6" s="12"/>
      <c r="L6" s="12" t="s">
        <v>9</v>
      </c>
    </row>
    <row r="7" spans="1:12">
      <c r="A7" s="1">
        <v>5</v>
      </c>
      <c r="B7" s="1"/>
      <c r="C7" s="12" t="s">
        <v>469</v>
      </c>
      <c r="D7" s="12" t="s">
        <v>460</v>
      </c>
      <c r="E7" s="51" t="s">
        <v>468</v>
      </c>
      <c r="F7" s="33">
        <v>2</v>
      </c>
      <c r="G7" s="23" t="s">
        <v>465</v>
      </c>
      <c r="H7" s="24">
        <v>2</v>
      </c>
      <c r="I7" s="32">
        <v>4745</v>
      </c>
      <c r="J7" s="12">
        <v>500</v>
      </c>
      <c r="K7" s="12"/>
      <c r="L7" s="12" t="s">
        <v>9</v>
      </c>
    </row>
    <row r="8" spans="1:12">
      <c r="A8" s="7"/>
      <c r="B8" s="7"/>
      <c r="C8" s="22"/>
      <c r="D8" s="21"/>
      <c r="E8" s="22"/>
      <c r="F8" s="35"/>
      <c r="G8" s="21"/>
      <c r="H8" s="22">
        <f>SUM(H3:H7)</f>
        <v>75</v>
      </c>
      <c r="I8" s="22"/>
      <c r="J8" s="22"/>
      <c r="K8" s="22"/>
      <c r="L8" s="22"/>
    </row>
    <row r="9" spans="1:12">
      <c r="C9" s="22"/>
      <c r="D9" s="21"/>
      <c r="E9" s="22"/>
      <c r="F9" s="35"/>
      <c r="G9" s="21"/>
      <c r="H9" s="21"/>
      <c r="I9" s="22"/>
      <c r="J9" s="22"/>
      <c r="K9" s="22"/>
      <c r="L9" s="22"/>
    </row>
  </sheetData>
  <phoneticPr fontId="2"/>
  <dataValidations count="2">
    <dataValidation allowBlank="1" showInputMessage="1" showErrorMessage="1" sqref="G3:G7" xr:uid="{8E3B3A64-CB75-412D-B3A2-1EFE2751B732}"/>
    <dataValidation type="list" allowBlank="1" showInputMessage="1" sqref="E3:E7" xr:uid="{85E35023-BFCF-4AAA-9029-28AE8C153FB1}">
      <formula1>"FLR40W,FLR40W 非常用,"</formula1>
    </dataValidation>
  </dataValidation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B6D1-B524-4EE7-93D0-6DDFE9C2279B}">
  <sheetPr>
    <pageSetUpPr fitToPage="1"/>
  </sheetPr>
  <dimension ref="A1:L143"/>
  <sheetViews>
    <sheetView topLeftCell="A88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style="18" customWidth="1"/>
    <col min="4" max="4" width="23" style="18" bestFit="1" customWidth="1"/>
    <col min="5" max="5" width="21.375" style="18" bestFit="1" customWidth="1"/>
    <col min="6" max="6" width="4.8125" style="18" bestFit="1" customWidth="1"/>
    <col min="7" max="7" width="27.9375" style="18" bestFit="1" customWidth="1"/>
    <col min="8" max="8" width="5.1875" style="18" bestFit="1" customWidth="1"/>
    <col min="9" max="9" width="12.9375" style="31" bestFit="1" customWidth="1"/>
    <col min="10" max="10" width="15.4375" style="11" bestFit="1" customWidth="1"/>
    <col min="11" max="11" width="22.4375" style="18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9" t="s">
        <v>1</v>
      </c>
      <c r="D2" s="19" t="s">
        <v>13</v>
      </c>
      <c r="E2" s="19" t="s">
        <v>2</v>
      </c>
      <c r="F2" s="19" t="s">
        <v>3</v>
      </c>
      <c r="G2" s="19" t="s">
        <v>6</v>
      </c>
      <c r="H2" s="19" t="s">
        <v>4</v>
      </c>
      <c r="I2" s="29" t="s">
        <v>8</v>
      </c>
      <c r="J2" s="12" t="s">
        <v>5</v>
      </c>
      <c r="K2" s="19" t="s">
        <v>10</v>
      </c>
      <c r="L2" s="1" t="s">
        <v>7</v>
      </c>
    </row>
    <row r="3" spans="1:12">
      <c r="A3" s="2">
        <v>1</v>
      </c>
      <c r="B3" s="37" t="s">
        <v>295</v>
      </c>
      <c r="C3" s="19" t="s">
        <v>389</v>
      </c>
      <c r="D3" s="20" t="s">
        <v>455</v>
      </c>
      <c r="E3" s="23" t="s">
        <v>21</v>
      </c>
      <c r="F3" s="33">
        <v>2</v>
      </c>
      <c r="G3" s="19" t="s">
        <v>308</v>
      </c>
      <c r="H3" s="24">
        <v>5</v>
      </c>
      <c r="I3" s="32">
        <v>2359.5</v>
      </c>
      <c r="J3" s="12">
        <v>71</v>
      </c>
      <c r="K3" s="19"/>
      <c r="L3" s="1" t="s">
        <v>9</v>
      </c>
    </row>
    <row r="4" spans="1:12">
      <c r="A4" s="2">
        <v>2</v>
      </c>
      <c r="B4" s="37" t="s">
        <v>284</v>
      </c>
      <c r="C4" s="19" t="s">
        <v>389</v>
      </c>
      <c r="D4" s="20" t="s">
        <v>174</v>
      </c>
      <c r="E4" s="23" t="s">
        <v>19</v>
      </c>
      <c r="F4" s="33">
        <v>1</v>
      </c>
      <c r="G4" s="19" t="s">
        <v>439</v>
      </c>
      <c r="H4" s="24">
        <v>1</v>
      </c>
      <c r="I4" s="32">
        <v>2299</v>
      </c>
      <c r="J4" s="12">
        <v>26</v>
      </c>
      <c r="K4" s="19"/>
      <c r="L4" s="1" t="s">
        <v>9</v>
      </c>
    </row>
    <row r="5" spans="1:12">
      <c r="A5" s="2">
        <v>3</v>
      </c>
      <c r="B5" s="37" t="s">
        <v>285</v>
      </c>
      <c r="C5" s="19" t="s">
        <v>389</v>
      </c>
      <c r="D5" s="20" t="s">
        <v>262</v>
      </c>
      <c r="E5" s="23" t="s">
        <v>21</v>
      </c>
      <c r="F5" s="33">
        <v>1</v>
      </c>
      <c r="G5" s="19" t="s">
        <v>551</v>
      </c>
      <c r="H5" s="24">
        <v>2</v>
      </c>
      <c r="I5" s="32">
        <v>2601.5</v>
      </c>
      <c r="J5" s="12">
        <v>36</v>
      </c>
      <c r="K5" s="19"/>
      <c r="L5" s="1" t="s">
        <v>9</v>
      </c>
    </row>
    <row r="6" spans="1:12">
      <c r="A6" s="2">
        <v>4</v>
      </c>
      <c r="B6" s="37" t="s">
        <v>282</v>
      </c>
      <c r="C6" s="19" t="s">
        <v>389</v>
      </c>
      <c r="D6" s="20" t="s">
        <v>456</v>
      </c>
      <c r="E6" s="23" t="s">
        <v>21</v>
      </c>
      <c r="F6" s="33">
        <v>1</v>
      </c>
      <c r="G6" s="19" t="s">
        <v>301</v>
      </c>
      <c r="H6" s="24">
        <v>1</v>
      </c>
      <c r="I6" s="32">
        <v>2299</v>
      </c>
      <c r="J6" s="12">
        <v>36</v>
      </c>
      <c r="K6" s="19"/>
      <c r="L6" s="1" t="s">
        <v>9</v>
      </c>
    </row>
    <row r="7" spans="1:12">
      <c r="A7" s="2">
        <v>5</v>
      </c>
      <c r="B7" s="37"/>
      <c r="C7" s="19" t="s">
        <v>389</v>
      </c>
      <c r="D7" s="20" t="s">
        <v>457</v>
      </c>
      <c r="E7" s="23" t="s">
        <v>448</v>
      </c>
      <c r="F7" s="33">
        <v>1</v>
      </c>
      <c r="G7" s="19" t="s">
        <v>12</v>
      </c>
      <c r="H7" s="24">
        <v>1</v>
      </c>
      <c r="I7" s="32">
        <v>2299</v>
      </c>
      <c r="J7" s="12">
        <v>23</v>
      </c>
      <c r="K7" s="19"/>
      <c r="L7" s="1" t="s">
        <v>9</v>
      </c>
    </row>
    <row r="8" spans="1:12">
      <c r="A8" s="2">
        <v>6</v>
      </c>
      <c r="B8" s="37"/>
      <c r="C8" s="19" t="s">
        <v>389</v>
      </c>
      <c r="D8" s="20" t="s">
        <v>173</v>
      </c>
      <c r="E8" s="23" t="s">
        <v>448</v>
      </c>
      <c r="F8" s="33">
        <v>1</v>
      </c>
      <c r="G8" s="19" t="s">
        <v>12</v>
      </c>
      <c r="H8" s="24">
        <v>1</v>
      </c>
      <c r="I8" s="32">
        <v>242</v>
      </c>
      <c r="J8" s="12">
        <v>23</v>
      </c>
      <c r="K8" s="19"/>
      <c r="L8" s="1" t="s">
        <v>9</v>
      </c>
    </row>
    <row r="9" spans="1:12">
      <c r="A9" s="2">
        <v>7</v>
      </c>
      <c r="B9" s="37" t="s">
        <v>283</v>
      </c>
      <c r="C9" s="19" t="s">
        <v>389</v>
      </c>
      <c r="D9" s="20" t="s">
        <v>390</v>
      </c>
      <c r="E9" s="23" t="s">
        <v>384</v>
      </c>
      <c r="F9" s="33">
        <v>1</v>
      </c>
      <c r="G9" s="29" t="s">
        <v>302</v>
      </c>
      <c r="H9" s="24">
        <v>2</v>
      </c>
      <c r="I9" s="32">
        <v>2601.5</v>
      </c>
      <c r="J9" s="12">
        <v>36</v>
      </c>
      <c r="K9" s="29"/>
      <c r="L9" s="1" t="s">
        <v>9</v>
      </c>
    </row>
    <row r="10" spans="1:12">
      <c r="A10" s="2">
        <v>8</v>
      </c>
      <c r="B10" s="37" t="s">
        <v>295</v>
      </c>
      <c r="C10" s="19" t="s">
        <v>389</v>
      </c>
      <c r="D10" s="20" t="s">
        <v>454</v>
      </c>
      <c r="E10" s="23" t="s">
        <v>21</v>
      </c>
      <c r="F10" s="34">
        <v>2</v>
      </c>
      <c r="G10" s="29" t="s">
        <v>308</v>
      </c>
      <c r="H10" s="24">
        <v>3</v>
      </c>
      <c r="I10" s="32">
        <v>2359.5</v>
      </c>
      <c r="J10" s="29">
        <v>71</v>
      </c>
      <c r="K10" s="29"/>
      <c r="L10" s="1" t="s">
        <v>9</v>
      </c>
    </row>
    <row r="11" spans="1:12">
      <c r="A11" s="2">
        <v>9</v>
      </c>
      <c r="B11" s="37" t="s">
        <v>431</v>
      </c>
      <c r="C11" s="19" t="s">
        <v>389</v>
      </c>
      <c r="D11" s="20" t="s">
        <v>266</v>
      </c>
      <c r="E11" s="23" t="s">
        <v>21</v>
      </c>
      <c r="F11" s="34">
        <v>1</v>
      </c>
      <c r="G11" s="29" t="s">
        <v>302</v>
      </c>
      <c r="H11" s="24">
        <v>27</v>
      </c>
      <c r="I11" s="32">
        <v>2601.5</v>
      </c>
      <c r="J11" s="29">
        <v>36</v>
      </c>
      <c r="K11" s="29"/>
      <c r="L11" s="1" t="s">
        <v>9</v>
      </c>
    </row>
    <row r="12" spans="1:12">
      <c r="A12" s="2">
        <v>10</v>
      </c>
      <c r="B12" s="37" t="s">
        <v>289</v>
      </c>
      <c r="C12" s="19" t="s">
        <v>389</v>
      </c>
      <c r="D12" s="20" t="s">
        <v>265</v>
      </c>
      <c r="E12" s="23" t="s">
        <v>21</v>
      </c>
      <c r="F12" s="34">
        <v>1</v>
      </c>
      <c r="G12" s="29" t="s">
        <v>89</v>
      </c>
      <c r="H12" s="24">
        <v>4</v>
      </c>
      <c r="I12" s="32">
        <v>2299</v>
      </c>
      <c r="J12" s="29">
        <v>36</v>
      </c>
      <c r="K12" s="29"/>
      <c r="L12" s="1" t="s">
        <v>9</v>
      </c>
    </row>
    <row r="13" spans="1:12">
      <c r="A13" s="2">
        <v>11</v>
      </c>
      <c r="B13" s="37"/>
      <c r="C13" s="19" t="s">
        <v>389</v>
      </c>
      <c r="D13" s="20" t="s">
        <v>265</v>
      </c>
      <c r="E13" s="23" t="s">
        <v>373</v>
      </c>
      <c r="F13" s="34">
        <v>1</v>
      </c>
      <c r="G13" s="29" t="s">
        <v>73</v>
      </c>
      <c r="H13" s="24">
        <v>4</v>
      </c>
      <c r="I13" s="32"/>
      <c r="J13" s="29">
        <v>60</v>
      </c>
      <c r="K13" s="29"/>
      <c r="L13" s="1" t="s">
        <v>9</v>
      </c>
    </row>
    <row r="14" spans="1:12">
      <c r="A14" s="2">
        <v>12</v>
      </c>
      <c r="B14" s="37"/>
      <c r="C14" s="19" t="s">
        <v>343</v>
      </c>
      <c r="D14" s="20" t="s">
        <v>495</v>
      </c>
      <c r="E14" s="23" t="s">
        <v>72</v>
      </c>
      <c r="F14" s="34">
        <v>1</v>
      </c>
      <c r="G14" s="29" t="s">
        <v>73</v>
      </c>
      <c r="H14" s="24">
        <v>5</v>
      </c>
      <c r="I14" s="32"/>
      <c r="J14" s="29">
        <v>60</v>
      </c>
      <c r="K14" s="29"/>
      <c r="L14" s="1" t="s">
        <v>9</v>
      </c>
    </row>
    <row r="15" spans="1:12">
      <c r="A15" s="2">
        <v>13</v>
      </c>
      <c r="B15" s="37"/>
      <c r="C15" s="19" t="s">
        <v>343</v>
      </c>
      <c r="D15" s="20" t="s">
        <v>417</v>
      </c>
      <c r="E15" s="23" t="s">
        <v>449</v>
      </c>
      <c r="F15" s="34">
        <v>1</v>
      </c>
      <c r="G15" s="29" t="s">
        <v>73</v>
      </c>
      <c r="H15" s="24">
        <v>3</v>
      </c>
      <c r="I15" s="32">
        <v>2299</v>
      </c>
      <c r="J15" s="29">
        <v>20</v>
      </c>
      <c r="K15" s="29"/>
      <c r="L15" s="1" t="s">
        <v>9</v>
      </c>
    </row>
    <row r="16" spans="1:12">
      <c r="A16" s="2">
        <v>14</v>
      </c>
      <c r="B16" s="37" t="s">
        <v>431</v>
      </c>
      <c r="C16" s="19" t="s">
        <v>389</v>
      </c>
      <c r="D16" s="20" t="s">
        <v>391</v>
      </c>
      <c r="E16" s="23" t="s">
        <v>21</v>
      </c>
      <c r="F16" s="34">
        <v>1</v>
      </c>
      <c r="G16" s="29" t="s">
        <v>302</v>
      </c>
      <c r="H16" s="24">
        <v>14</v>
      </c>
      <c r="I16" s="32">
        <v>2299</v>
      </c>
      <c r="J16" s="29">
        <v>36</v>
      </c>
      <c r="K16" s="29"/>
      <c r="L16" s="1" t="s">
        <v>9</v>
      </c>
    </row>
    <row r="17" spans="1:12">
      <c r="A17" s="2">
        <v>15</v>
      </c>
      <c r="B17" s="37" t="s">
        <v>431</v>
      </c>
      <c r="C17" s="19" t="s">
        <v>389</v>
      </c>
      <c r="D17" s="20" t="s">
        <v>392</v>
      </c>
      <c r="E17" s="23" t="s">
        <v>21</v>
      </c>
      <c r="F17" s="34">
        <v>1</v>
      </c>
      <c r="G17" s="29" t="s">
        <v>302</v>
      </c>
      <c r="H17" s="24">
        <v>16</v>
      </c>
      <c r="I17" s="32">
        <v>2299</v>
      </c>
      <c r="J17" s="29">
        <v>36</v>
      </c>
      <c r="K17" s="29"/>
      <c r="L17" s="1" t="s">
        <v>9</v>
      </c>
    </row>
    <row r="18" spans="1:12">
      <c r="A18" s="2">
        <v>16</v>
      </c>
      <c r="B18" s="37" t="s">
        <v>283</v>
      </c>
      <c r="C18" s="19" t="s">
        <v>389</v>
      </c>
      <c r="D18" s="20" t="s">
        <v>57</v>
      </c>
      <c r="E18" s="23" t="s">
        <v>21</v>
      </c>
      <c r="F18" s="34">
        <v>1</v>
      </c>
      <c r="G18" s="29" t="s">
        <v>302</v>
      </c>
      <c r="H18" s="24">
        <v>2</v>
      </c>
      <c r="I18" s="32">
        <v>2299</v>
      </c>
      <c r="J18" s="29">
        <v>36</v>
      </c>
      <c r="K18" s="29"/>
      <c r="L18" s="1" t="s">
        <v>9</v>
      </c>
    </row>
    <row r="19" spans="1:12">
      <c r="A19" s="2">
        <v>17</v>
      </c>
      <c r="B19" s="37"/>
      <c r="C19" s="19" t="s">
        <v>389</v>
      </c>
      <c r="D19" s="20" t="s">
        <v>57</v>
      </c>
      <c r="E19" s="23" t="s">
        <v>373</v>
      </c>
      <c r="F19" s="34">
        <v>1</v>
      </c>
      <c r="G19" s="29" t="s">
        <v>73</v>
      </c>
      <c r="H19" s="24">
        <v>1</v>
      </c>
      <c r="I19" s="32"/>
      <c r="J19" s="29">
        <v>60</v>
      </c>
      <c r="K19" s="29"/>
      <c r="L19" s="1" t="s">
        <v>9</v>
      </c>
    </row>
    <row r="20" spans="1:12">
      <c r="A20" s="2">
        <v>18</v>
      </c>
      <c r="B20" s="37" t="s">
        <v>285</v>
      </c>
      <c r="C20" s="19" t="s">
        <v>389</v>
      </c>
      <c r="D20" s="20" t="s">
        <v>267</v>
      </c>
      <c r="E20" s="23" t="s">
        <v>21</v>
      </c>
      <c r="F20" s="34">
        <v>1</v>
      </c>
      <c r="G20" s="29" t="s">
        <v>551</v>
      </c>
      <c r="H20" s="24">
        <v>2</v>
      </c>
      <c r="I20" s="32">
        <v>2601.5</v>
      </c>
      <c r="J20" s="29">
        <v>36</v>
      </c>
      <c r="K20" s="29"/>
      <c r="L20" s="1" t="s">
        <v>9</v>
      </c>
    </row>
    <row r="21" spans="1:12">
      <c r="A21" s="2">
        <v>19</v>
      </c>
      <c r="B21" s="37"/>
      <c r="C21" s="19" t="s">
        <v>389</v>
      </c>
      <c r="D21" s="20" t="s">
        <v>473</v>
      </c>
      <c r="E21" s="23" t="s">
        <v>373</v>
      </c>
      <c r="F21" s="34">
        <v>1</v>
      </c>
      <c r="G21" s="29" t="s">
        <v>441</v>
      </c>
      <c r="H21" s="24">
        <v>1</v>
      </c>
      <c r="I21" s="32">
        <v>2601.5</v>
      </c>
      <c r="J21" s="29">
        <v>60</v>
      </c>
      <c r="K21" s="29"/>
      <c r="L21" s="1" t="s">
        <v>9</v>
      </c>
    </row>
    <row r="22" spans="1:12">
      <c r="A22" s="2">
        <v>20</v>
      </c>
      <c r="B22" s="37" t="s">
        <v>294</v>
      </c>
      <c r="C22" s="19" t="s">
        <v>389</v>
      </c>
      <c r="D22" s="20" t="s">
        <v>458</v>
      </c>
      <c r="E22" s="23" t="s">
        <v>21</v>
      </c>
      <c r="F22" s="34">
        <v>1</v>
      </c>
      <c r="G22" s="29" t="s">
        <v>251</v>
      </c>
      <c r="H22" s="24">
        <v>2</v>
      </c>
      <c r="I22" s="32">
        <v>2299</v>
      </c>
      <c r="J22" s="29">
        <v>36</v>
      </c>
      <c r="K22" s="29"/>
      <c r="L22" s="1" t="s">
        <v>9</v>
      </c>
    </row>
    <row r="23" spans="1:12">
      <c r="A23" s="2">
        <v>21</v>
      </c>
      <c r="B23" s="37" t="s">
        <v>432</v>
      </c>
      <c r="C23" s="19" t="s">
        <v>389</v>
      </c>
      <c r="D23" s="20" t="s">
        <v>458</v>
      </c>
      <c r="E23" s="23" t="s">
        <v>21</v>
      </c>
      <c r="F23" s="34">
        <v>2</v>
      </c>
      <c r="G23" s="29" t="s">
        <v>251</v>
      </c>
      <c r="H23" s="24">
        <v>1</v>
      </c>
      <c r="I23" s="32">
        <v>2299</v>
      </c>
      <c r="J23" s="29">
        <v>36</v>
      </c>
      <c r="K23" s="29"/>
      <c r="L23" s="1" t="s">
        <v>9</v>
      </c>
    </row>
    <row r="24" spans="1:12">
      <c r="A24" s="2">
        <v>22</v>
      </c>
      <c r="B24" s="37" t="s">
        <v>291</v>
      </c>
      <c r="C24" s="19" t="s">
        <v>389</v>
      </c>
      <c r="D24" s="20" t="s">
        <v>458</v>
      </c>
      <c r="E24" s="23" t="s">
        <v>21</v>
      </c>
      <c r="F24" s="34">
        <v>1</v>
      </c>
      <c r="G24" s="29" t="s">
        <v>253</v>
      </c>
      <c r="H24" s="24">
        <v>1</v>
      </c>
      <c r="I24" s="32">
        <v>2299</v>
      </c>
      <c r="J24" s="29">
        <v>36</v>
      </c>
      <c r="K24" s="29"/>
      <c r="L24" s="1" t="s">
        <v>9</v>
      </c>
    </row>
    <row r="25" spans="1:12">
      <c r="A25" s="2">
        <v>23</v>
      </c>
      <c r="B25" s="37" t="s">
        <v>291</v>
      </c>
      <c r="C25" s="19" t="s">
        <v>389</v>
      </c>
      <c r="D25" s="20" t="s">
        <v>38</v>
      </c>
      <c r="E25" s="23" t="s">
        <v>21</v>
      </c>
      <c r="F25" s="34">
        <v>1</v>
      </c>
      <c r="G25" s="29" t="s">
        <v>253</v>
      </c>
      <c r="H25" s="24">
        <v>1</v>
      </c>
      <c r="I25" s="32">
        <v>2299</v>
      </c>
      <c r="J25" s="29">
        <v>36</v>
      </c>
      <c r="K25" s="29"/>
      <c r="L25" s="1" t="s">
        <v>9</v>
      </c>
    </row>
    <row r="26" spans="1:12">
      <c r="A26" s="2">
        <v>24</v>
      </c>
      <c r="B26" s="37" t="s">
        <v>432</v>
      </c>
      <c r="C26" s="19" t="s">
        <v>389</v>
      </c>
      <c r="D26" s="20" t="s">
        <v>393</v>
      </c>
      <c r="E26" s="23" t="s">
        <v>21</v>
      </c>
      <c r="F26" s="34">
        <v>2</v>
      </c>
      <c r="G26" s="29" t="s">
        <v>251</v>
      </c>
      <c r="H26" s="24">
        <v>17</v>
      </c>
      <c r="I26" s="32">
        <v>2299</v>
      </c>
      <c r="J26" s="29">
        <v>36</v>
      </c>
      <c r="K26" s="29"/>
      <c r="L26" s="1" t="s">
        <v>9</v>
      </c>
    </row>
    <row r="27" spans="1:12">
      <c r="A27" s="25">
        <v>25</v>
      </c>
      <c r="B27" s="40"/>
      <c r="C27" s="46" t="s">
        <v>389</v>
      </c>
      <c r="D27" s="26" t="s">
        <v>393</v>
      </c>
      <c r="E27" s="27" t="s">
        <v>75</v>
      </c>
      <c r="F27" s="47">
        <v>1</v>
      </c>
      <c r="G27" s="46" t="s">
        <v>88</v>
      </c>
      <c r="H27" s="28">
        <v>2</v>
      </c>
      <c r="I27" s="42">
        <v>2299</v>
      </c>
      <c r="J27" s="46"/>
      <c r="K27" s="46"/>
      <c r="L27" s="25" t="s">
        <v>386</v>
      </c>
    </row>
    <row r="28" spans="1:12">
      <c r="A28" s="2">
        <v>26</v>
      </c>
      <c r="B28" s="37" t="s">
        <v>294</v>
      </c>
      <c r="C28" s="19" t="s">
        <v>389</v>
      </c>
      <c r="D28" s="20" t="s">
        <v>393</v>
      </c>
      <c r="E28" s="23" t="s">
        <v>21</v>
      </c>
      <c r="F28" s="34">
        <v>1</v>
      </c>
      <c r="G28" s="29" t="s">
        <v>251</v>
      </c>
      <c r="H28" s="24">
        <v>9</v>
      </c>
      <c r="I28" s="32">
        <v>2299</v>
      </c>
      <c r="J28" s="29">
        <v>36</v>
      </c>
      <c r="K28" s="29"/>
      <c r="L28" s="1" t="s">
        <v>9</v>
      </c>
    </row>
    <row r="29" spans="1:12">
      <c r="A29" s="2">
        <v>27</v>
      </c>
      <c r="B29" s="37"/>
      <c r="C29" s="19" t="s">
        <v>389</v>
      </c>
      <c r="D29" s="20" t="s">
        <v>393</v>
      </c>
      <c r="E29" s="23" t="s">
        <v>21</v>
      </c>
      <c r="F29" s="34">
        <v>1</v>
      </c>
      <c r="G29" s="19" t="s">
        <v>459</v>
      </c>
      <c r="H29" s="24">
        <v>4</v>
      </c>
      <c r="I29" s="32">
        <v>2299</v>
      </c>
      <c r="J29" s="29">
        <v>36</v>
      </c>
      <c r="K29" s="29"/>
      <c r="L29" s="1" t="s">
        <v>9</v>
      </c>
    </row>
    <row r="30" spans="1:12">
      <c r="A30" s="2">
        <v>28</v>
      </c>
      <c r="B30" s="37" t="s">
        <v>294</v>
      </c>
      <c r="C30" s="19" t="s">
        <v>389</v>
      </c>
      <c r="D30" s="20" t="s">
        <v>394</v>
      </c>
      <c r="E30" s="23" t="s">
        <v>21</v>
      </c>
      <c r="F30" s="34">
        <v>1</v>
      </c>
      <c r="G30" s="29" t="s">
        <v>251</v>
      </c>
      <c r="H30" s="24">
        <v>3</v>
      </c>
      <c r="I30" s="32">
        <v>2299</v>
      </c>
      <c r="J30" s="29">
        <v>36</v>
      </c>
      <c r="K30" s="29"/>
      <c r="L30" s="1" t="s">
        <v>9</v>
      </c>
    </row>
    <row r="31" spans="1:12">
      <c r="A31" s="2">
        <v>29</v>
      </c>
      <c r="B31" s="37" t="s">
        <v>476</v>
      </c>
      <c r="C31" s="19" t="s">
        <v>389</v>
      </c>
      <c r="D31" s="20" t="s">
        <v>475</v>
      </c>
      <c r="E31" s="23" t="s">
        <v>384</v>
      </c>
      <c r="F31" s="33">
        <v>1</v>
      </c>
      <c r="G31" s="19" t="s">
        <v>251</v>
      </c>
      <c r="H31" s="24">
        <v>1</v>
      </c>
      <c r="I31" s="32">
        <v>2299</v>
      </c>
      <c r="J31" s="12">
        <v>36</v>
      </c>
      <c r="K31" s="19"/>
      <c r="L31" s="1" t="s">
        <v>9</v>
      </c>
    </row>
    <row r="32" spans="1:12">
      <c r="A32" s="2">
        <v>30</v>
      </c>
      <c r="B32" s="37" t="s">
        <v>87</v>
      </c>
      <c r="C32" s="19" t="s">
        <v>389</v>
      </c>
      <c r="D32" s="20" t="s">
        <v>478</v>
      </c>
      <c r="E32" s="23" t="s">
        <v>384</v>
      </c>
      <c r="F32" s="33">
        <v>2</v>
      </c>
      <c r="G32" s="19" t="s">
        <v>377</v>
      </c>
      <c r="H32" s="24">
        <v>2</v>
      </c>
      <c r="I32" s="32">
        <v>2299</v>
      </c>
      <c r="J32" s="12">
        <v>72</v>
      </c>
      <c r="K32" s="19"/>
      <c r="L32" s="1" t="s">
        <v>9</v>
      </c>
    </row>
    <row r="33" spans="1:12">
      <c r="A33" s="2">
        <v>31</v>
      </c>
      <c r="B33" s="37" t="s">
        <v>28</v>
      </c>
      <c r="C33" s="19" t="s">
        <v>389</v>
      </c>
      <c r="D33" s="20" t="s">
        <v>477</v>
      </c>
      <c r="E33" s="23" t="s">
        <v>384</v>
      </c>
      <c r="F33" s="34">
        <v>1</v>
      </c>
      <c r="G33" s="29" t="s">
        <v>377</v>
      </c>
      <c r="H33" s="24">
        <v>1</v>
      </c>
      <c r="I33" s="32">
        <v>2299</v>
      </c>
      <c r="J33" s="12">
        <v>36</v>
      </c>
      <c r="K33" s="19"/>
      <c r="L33" s="1" t="s">
        <v>9</v>
      </c>
    </row>
    <row r="34" spans="1:12">
      <c r="A34" s="2">
        <v>32</v>
      </c>
      <c r="B34" s="37"/>
      <c r="C34" s="19" t="s">
        <v>389</v>
      </c>
      <c r="D34" s="20" t="s">
        <v>474</v>
      </c>
      <c r="E34" s="23" t="s">
        <v>480</v>
      </c>
      <c r="F34" s="33"/>
      <c r="G34" s="19" t="s">
        <v>442</v>
      </c>
      <c r="H34" s="24">
        <v>5</v>
      </c>
      <c r="I34" s="32">
        <v>2299</v>
      </c>
      <c r="J34" s="12">
        <v>100</v>
      </c>
      <c r="K34" s="29"/>
      <c r="L34" s="1" t="s">
        <v>9</v>
      </c>
    </row>
    <row r="35" spans="1:12">
      <c r="A35" s="2">
        <v>33</v>
      </c>
      <c r="B35" s="37"/>
      <c r="C35" s="19" t="s">
        <v>389</v>
      </c>
      <c r="D35" s="20" t="s">
        <v>479</v>
      </c>
      <c r="E35" s="23" t="s">
        <v>443</v>
      </c>
      <c r="F35" s="33">
        <v>1</v>
      </c>
      <c r="G35" s="19" t="s">
        <v>73</v>
      </c>
      <c r="H35" s="24">
        <v>4</v>
      </c>
      <c r="I35" s="32">
        <v>2299</v>
      </c>
      <c r="J35" s="12">
        <v>40</v>
      </c>
      <c r="K35" s="19"/>
      <c r="L35" s="1" t="s">
        <v>9</v>
      </c>
    </row>
    <row r="36" spans="1:12">
      <c r="A36" s="2">
        <v>34</v>
      </c>
      <c r="B36" s="37" t="s">
        <v>282</v>
      </c>
      <c r="C36" s="19" t="s">
        <v>389</v>
      </c>
      <c r="D36" s="20" t="s">
        <v>395</v>
      </c>
      <c r="E36" s="23" t="s">
        <v>21</v>
      </c>
      <c r="F36" s="34">
        <v>1</v>
      </c>
      <c r="G36" s="29" t="s">
        <v>301</v>
      </c>
      <c r="H36" s="24">
        <v>4</v>
      </c>
      <c r="I36" s="32">
        <v>2299</v>
      </c>
      <c r="J36" s="29">
        <v>36</v>
      </c>
      <c r="K36" s="29"/>
      <c r="L36" s="1" t="s">
        <v>9</v>
      </c>
    </row>
    <row r="37" spans="1:12">
      <c r="A37" s="2">
        <v>35</v>
      </c>
      <c r="B37" s="37" t="s">
        <v>283</v>
      </c>
      <c r="C37" s="19" t="s">
        <v>389</v>
      </c>
      <c r="D37" s="20" t="s">
        <v>272</v>
      </c>
      <c r="E37" s="23" t="s">
        <v>21</v>
      </c>
      <c r="F37" s="34">
        <v>1</v>
      </c>
      <c r="G37" s="29" t="s">
        <v>302</v>
      </c>
      <c r="H37" s="24">
        <v>5</v>
      </c>
      <c r="I37" s="32">
        <v>2299</v>
      </c>
      <c r="J37" s="29">
        <v>36</v>
      </c>
      <c r="K37" s="29"/>
      <c r="L37" s="1" t="s">
        <v>9</v>
      </c>
    </row>
    <row r="38" spans="1:12">
      <c r="A38" s="2">
        <v>36</v>
      </c>
      <c r="B38" s="37" t="s">
        <v>432</v>
      </c>
      <c r="C38" s="19" t="s">
        <v>389</v>
      </c>
      <c r="D38" s="20" t="s">
        <v>396</v>
      </c>
      <c r="E38" s="23" t="s">
        <v>21</v>
      </c>
      <c r="F38" s="34">
        <v>2</v>
      </c>
      <c r="G38" s="29" t="s">
        <v>251</v>
      </c>
      <c r="H38" s="24">
        <v>2</v>
      </c>
      <c r="I38" s="32">
        <v>2299</v>
      </c>
      <c r="J38" s="29">
        <v>72</v>
      </c>
      <c r="K38" s="29"/>
      <c r="L38" s="1" t="s">
        <v>9</v>
      </c>
    </row>
    <row r="39" spans="1:12">
      <c r="A39" s="2">
        <v>37</v>
      </c>
      <c r="B39" s="37" t="s">
        <v>294</v>
      </c>
      <c r="C39" s="19" t="s">
        <v>389</v>
      </c>
      <c r="D39" s="20" t="s">
        <v>396</v>
      </c>
      <c r="E39" s="23" t="s">
        <v>21</v>
      </c>
      <c r="F39" s="34">
        <v>1</v>
      </c>
      <c r="G39" s="29" t="s">
        <v>251</v>
      </c>
      <c r="H39" s="24">
        <v>2</v>
      </c>
      <c r="I39" s="32">
        <v>2299</v>
      </c>
      <c r="J39" s="29">
        <v>36</v>
      </c>
      <c r="K39" s="29"/>
      <c r="L39" s="1" t="s">
        <v>9</v>
      </c>
    </row>
    <row r="40" spans="1:12" s="10" customFormat="1">
      <c r="A40" s="2">
        <v>38</v>
      </c>
      <c r="B40" s="37" t="s">
        <v>283</v>
      </c>
      <c r="C40" s="29" t="s">
        <v>389</v>
      </c>
      <c r="D40" s="20" t="s">
        <v>397</v>
      </c>
      <c r="E40" s="23" t="s">
        <v>21</v>
      </c>
      <c r="F40" s="34">
        <v>1</v>
      </c>
      <c r="G40" s="29" t="s">
        <v>302</v>
      </c>
      <c r="H40" s="24">
        <v>2</v>
      </c>
      <c r="I40" s="32">
        <v>2601.5</v>
      </c>
      <c r="J40" s="29">
        <v>36</v>
      </c>
      <c r="K40" s="29"/>
      <c r="L40" s="1" t="s">
        <v>9</v>
      </c>
    </row>
    <row r="41" spans="1:12">
      <c r="A41" s="2">
        <v>39</v>
      </c>
      <c r="B41" s="37" t="s">
        <v>282</v>
      </c>
      <c r="C41" s="19" t="s">
        <v>389</v>
      </c>
      <c r="D41" s="20" t="s">
        <v>311</v>
      </c>
      <c r="E41" s="23" t="s">
        <v>21</v>
      </c>
      <c r="F41" s="34">
        <v>1</v>
      </c>
      <c r="G41" s="29" t="s">
        <v>301</v>
      </c>
      <c r="H41" s="24">
        <v>1</v>
      </c>
      <c r="I41" s="32">
        <v>2299</v>
      </c>
      <c r="J41" s="29">
        <v>36</v>
      </c>
      <c r="K41" s="29"/>
      <c r="L41" s="1" t="s">
        <v>9</v>
      </c>
    </row>
    <row r="42" spans="1:12" s="10" customFormat="1">
      <c r="A42" s="2">
        <v>40</v>
      </c>
      <c r="B42" s="48"/>
      <c r="C42" s="29" t="s">
        <v>389</v>
      </c>
      <c r="D42" s="49" t="s">
        <v>482</v>
      </c>
      <c r="E42" s="50" t="s">
        <v>31</v>
      </c>
      <c r="F42" s="34">
        <v>1</v>
      </c>
      <c r="G42" s="29" t="s">
        <v>316</v>
      </c>
      <c r="H42" s="24">
        <v>2</v>
      </c>
      <c r="I42" s="32">
        <v>2299</v>
      </c>
      <c r="J42" s="29"/>
      <c r="K42" s="29" t="s">
        <v>32</v>
      </c>
      <c r="L42" s="2" t="s">
        <v>9</v>
      </c>
    </row>
    <row r="43" spans="1:12">
      <c r="A43" s="2">
        <v>41</v>
      </c>
      <c r="B43" s="37" t="s">
        <v>282</v>
      </c>
      <c r="C43" s="19" t="s">
        <v>389</v>
      </c>
      <c r="D43" s="20" t="s">
        <v>310</v>
      </c>
      <c r="E43" s="23" t="s">
        <v>21</v>
      </c>
      <c r="F43" s="34">
        <v>1</v>
      </c>
      <c r="G43" s="29" t="s">
        <v>301</v>
      </c>
      <c r="H43" s="24">
        <v>1</v>
      </c>
      <c r="I43" s="32">
        <v>2299</v>
      </c>
      <c r="J43" s="29">
        <v>36</v>
      </c>
      <c r="K43" s="29"/>
      <c r="L43" s="1" t="s">
        <v>9</v>
      </c>
    </row>
    <row r="44" spans="1:12">
      <c r="A44" s="2">
        <v>42</v>
      </c>
      <c r="B44" s="37"/>
      <c r="C44" s="19" t="s">
        <v>389</v>
      </c>
      <c r="D44" s="20" t="s">
        <v>483</v>
      </c>
      <c r="E44" s="50" t="s">
        <v>31</v>
      </c>
      <c r="F44" s="34">
        <v>1</v>
      </c>
      <c r="G44" s="29" t="s">
        <v>316</v>
      </c>
      <c r="H44" s="24">
        <v>3</v>
      </c>
      <c r="I44" s="32">
        <v>2299</v>
      </c>
      <c r="J44" s="29"/>
      <c r="K44" s="29" t="s">
        <v>32</v>
      </c>
      <c r="L44" s="1" t="s">
        <v>9</v>
      </c>
    </row>
    <row r="45" spans="1:12">
      <c r="A45" s="2">
        <v>43</v>
      </c>
      <c r="B45" s="37" t="s">
        <v>285</v>
      </c>
      <c r="C45" s="19" t="s">
        <v>389</v>
      </c>
      <c r="D45" s="20" t="s">
        <v>274</v>
      </c>
      <c r="E45" s="23" t="s">
        <v>21</v>
      </c>
      <c r="F45" s="34">
        <v>1</v>
      </c>
      <c r="G45" s="29" t="s">
        <v>551</v>
      </c>
      <c r="H45" s="24">
        <v>2</v>
      </c>
      <c r="I45" s="32">
        <v>2601.5</v>
      </c>
      <c r="J45" s="29">
        <v>36</v>
      </c>
      <c r="K45" s="29"/>
      <c r="L45" s="1" t="s">
        <v>9</v>
      </c>
    </row>
    <row r="46" spans="1:12">
      <c r="A46" s="2">
        <v>44</v>
      </c>
      <c r="B46" s="37"/>
      <c r="C46" s="19" t="s">
        <v>389</v>
      </c>
      <c r="D46" s="20" t="s">
        <v>494</v>
      </c>
      <c r="E46" s="23" t="s">
        <v>373</v>
      </c>
      <c r="F46" s="34">
        <v>1</v>
      </c>
      <c r="G46" s="29" t="s">
        <v>441</v>
      </c>
      <c r="H46" s="24">
        <v>1</v>
      </c>
      <c r="I46" s="32">
        <v>2299</v>
      </c>
      <c r="J46" s="12">
        <v>60</v>
      </c>
      <c r="K46" s="19"/>
      <c r="L46" s="1" t="s">
        <v>9</v>
      </c>
    </row>
    <row r="47" spans="1:12">
      <c r="A47" s="2">
        <v>45</v>
      </c>
      <c r="B47" s="37" t="s">
        <v>294</v>
      </c>
      <c r="C47" s="19" t="s">
        <v>389</v>
      </c>
      <c r="D47" s="20" t="s">
        <v>398</v>
      </c>
      <c r="E47" s="23" t="s">
        <v>21</v>
      </c>
      <c r="F47" s="34">
        <v>1</v>
      </c>
      <c r="G47" s="29" t="s">
        <v>440</v>
      </c>
      <c r="H47" s="24">
        <v>3</v>
      </c>
      <c r="I47" s="32">
        <v>2299</v>
      </c>
      <c r="J47" s="29">
        <v>36</v>
      </c>
      <c r="K47" s="29"/>
      <c r="L47" s="1" t="s">
        <v>9</v>
      </c>
    </row>
    <row r="48" spans="1:12">
      <c r="A48" s="2">
        <v>46</v>
      </c>
      <c r="B48" s="37" t="s">
        <v>294</v>
      </c>
      <c r="C48" s="19" t="s">
        <v>389</v>
      </c>
      <c r="D48" s="20" t="s">
        <v>399</v>
      </c>
      <c r="E48" s="23" t="s">
        <v>21</v>
      </c>
      <c r="F48" s="34">
        <v>1</v>
      </c>
      <c r="G48" s="29" t="s">
        <v>251</v>
      </c>
      <c r="H48" s="24">
        <v>9</v>
      </c>
      <c r="I48" s="32">
        <v>2299</v>
      </c>
      <c r="J48" s="29">
        <v>36</v>
      </c>
      <c r="K48" s="29"/>
      <c r="L48" s="1" t="s">
        <v>9</v>
      </c>
    </row>
    <row r="49" spans="1:12">
      <c r="A49" s="2">
        <v>47</v>
      </c>
      <c r="B49" s="37" t="s">
        <v>294</v>
      </c>
      <c r="C49" s="19" t="s">
        <v>389</v>
      </c>
      <c r="D49" s="20" t="s">
        <v>400</v>
      </c>
      <c r="E49" s="23" t="s">
        <v>21</v>
      </c>
      <c r="F49" s="33">
        <v>1</v>
      </c>
      <c r="G49" s="19" t="s">
        <v>251</v>
      </c>
      <c r="H49" s="24">
        <v>2</v>
      </c>
      <c r="I49" s="32">
        <v>2299</v>
      </c>
      <c r="J49" s="12">
        <v>36</v>
      </c>
      <c r="K49" s="19"/>
      <c r="L49" s="1" t="s">
        <v>9</v>
      </c>
    </row>
    <row r="50" spans="1:12">
      <c r="A50" s="2">
        <v>48</v>
      </c>
      <c r="B50" s="37" t="s">
        <v>294</v>
      </c>
      <c r="C50" s="19" t="s">
        <v>389</v>
      </c>
      <c r="D50" s="20" t="s">
        <v>489</v>
      </c>
      <c r="E50" s="23" t="s">
        <v>21</v>
      </c>
      <c r="F50" s="33">
        <v>1</v>
      </c>
      <c r="G50" s="19" t="s">
        <v>251</v>
      </c>
      <c r="H50" s="24">
        <v>1</v>
      </c>
      <c r="I50" s="32">
        <v>2299</v>
      </c>
      <c r="J50" s="12">
        <v>36</v>
      </c>
      <c r="K50" s="19"/>
      <c r="L50" s="1" t="s">
        <v>9</v>
      </c>
    </row>
    <row r="51" spans="1:12">
      <c r="A51" s="2">
        <v>49</v>
      </c>
      <c r="B51" s="37" t="s">
        <v>295</v>
      </c>
      <c r="C51" s="19" t="s">
        <v>389</v>
      </c>
      <c r="D51" s="20" t="s">
        <v>401</v>
      </c>
      <c r="E51" s="23" t="s">
        <v>21</v>
      </c>
      <c r="F51" s="33">
        <v>2</v>
      </c>
      <c r="G51" s="29" t="s">
        <v>308</v>
      </c>
      <c r="H51" s="24">
        <v>34</v>
      </c>
      <c r="I51" s="32">
        <v>3267</v>
      </c>
      <c r="J51" s="12">
        <v>72</v>
      </c>
      <c r="K51" s="29"/>
      <c r="L51" s="1" t="s">
        <v>9</v>
      </c>
    </row>
    <row r="52" spans="1:12">
      <c r="A52" s="2">
        <v>51</v>
      </c>
      <c r="B52" s="37" t="s">
        <v>290</v>
      </c>
      <c r="C52" s="19" t="s">
        <v>389</v>
      </c>
      <c r="D52" s="20" t="s">
        <v>401</v>
      </c>
      <c r="E52" s="23" t="s">
        <v>21</v>
      </c>
      <c r="F52" s="33">
        <v>1</v>
      </c>
      <c r="G52" s="19" t="s">
        <v>89</v>
      </c>
      <c r="H52" s="24">
        <v>5</v>
      </c>
      <c r="I52" s="32">
        <v>3267</v>
      </c>
      <c r="J52" s="12">
        <v>36</v>
      </c>
      <c r="K52" s="19"/>
      <c r="L52" s="1" t="s">
        <v>9</v>
      </c>
    </row>
    <row r="53" spans="1:12">
      <c r="A53" s="2">
        <v>52</v>
      </c>
      <c r="B53" s="37" t="s">
        <v>337</v>
      </c>
      <c r="C53" s="19" t="s">
        <v>389</v>
      </c>
      <c r="D53" s="20" t="s">
        <v>401</v>
      </c>
      <c r="E53" s="23" t="s">
        <v>19</v>
      </c>
      <c r="F53" s="34">
        <v>1</v>
      </c>
      <c r="G53" s="19" t="s">
        <v>336</v>
      </c>
      <c r="H53" s="24">
        <v>1</v>
      </c>
      <c r="I53" s="32">
        <v>3267</v>
      </c>
      <c r="J53" s="12">
        <v>26</v>
      </c>
      <c r="K53" s="19"/>
      <c r="L53" s="1" t="s">
        <v>9</v>
      </c>
    </row>
    <row r="54" spans="1:12" s="10" customFormat="1">
      <c r="A54" s="25">
        <v>53</v>
      </c>
      <c r="B54" s="40"/>
      <c r="C54" s="46" t="s">
        <v>343</v>
      </c>
      <c r="D54" s="26" t="s">
        <v>481</v>
      </c>
      <c r="E54" s="27" t="s">
        <v>75</v>
      </c>
      <c r="F54" s="47">
        <v>1</v>
      </c>
      <c r="G54" s="46" t="s">
        <v>472</v>
      </c>
      <c r="H54" s="28">
        <v>3</v>
      </c>
      <c r="I54" s="42">
        <v>4745</v>
      </c>
      <c r="J54" s="45"/>
      <c r="K54" s="46"/>
      <c r="L54" s="25" t="s">
        <v>386</v>
      </c>
    </row>
    <row r="55" spans="1:12">
      <c r="A55" s="2">
        <v>54</v>
      </c>
      <c r="B55" s="37" t="s">
        <v>295</v>
      </c>
      <c r="C55" s="19" t="s">
        <v>389</v>
      </c>
      <c r="D55" s="20" t="s">
        <v>402</v>
      </c>
      <c r="E55" s="23" t="s">
        <v>21</v>
      </c>
      <c r="F55" s="33">
        <v>2</v>
      </c>
      <c r="G55" s="19" t="s">
        <v>308</v>
      </c>
      <c r="H55" s="24">
        <v>1</v>
      </c>
      <c r="I55" s="32">
        <v>2299</v>
      </c>
      <c r="J55" s="12">
        <v>72</v>
      </c>
      <c r="K55" s="19"/>
      <c r="L55" s="1" t="s">
        <v>9</v>
      </c>
    </row>
    <row r="56" spans="1:12">
      <c r="A56" s="2">
        <v>55</v>
      </c>
      <c r="B56" s="37" t="s">
        <v>433</v>
      </c>
      <c r="C56" s="19" t="s">
        <v>389</v>
      </c>
      <c r="D56" s="20" t="s">
        <v>319</v>
      </c>
      <c r="E56" s="23" t="s">
        <v>19</v>
      </c>
      <c r="F56" s="33">
        <v>2</v>
      </c>
      <c r="G56" s="19" t="s">
        <v>254</v>
      </c>
      <c r="H56" s="24">
        <v>1</v>
      </c>
      <c r="I56" s="32">
        <v>2299</v>
      </c>
      <c r="J56" s="12">
        <v>50</v>
      </c>
      <c r="K56" s="19"/>
      <c r="L56" s="1" t="s">
        <v>9</v>
      </c>
    </row>
    <row r="57" spans="1:12">
      <c r="A57" s="2">
        <v>56</v>
      </c>
      <c r="B57" s="37" t="s">
        <v>337</v>
      </c>
      <c r="C57" s="19" t="s">
        <v>389</v>
      </c>
      <c r="D57" s="20" t="s">
        <v>403</v>
      </c>
      <c r="E57" s="23" t="s">
        <v>19</v>
      </c>
      <c r="F57" s="34">
        <v>1</v>
      </c>
      <c r="G57" s="19" t="s">
        <v>336</v>
      </c>
      <c r="H57" s="24">
        <v>1</v>
      </c>
      <c r="I57" s="32">
        <v>2299</v>
      </c>
      <c r="J57" s="12">
        <v>26</v>
      </c>
      <c r="K57" s="19"/>
      <c r="L57" s="1" t="s">
        <v>9</v>
      </c>
    </row>
    <row r="58" spans="1:12">
      <c r="A58" s="2">
        <v>57</v>
      </c>
      <c r="B58" s="37" t="s">
        <v>487</v>
      </c>
      <c r="C58" s="19" t="s">
        <v>343</v>
      </c>
      <c r="D58" s="20" t="s">
        <v>486</v>
      </c>
      <c r="E58" s="23" t="s">
        <v>19</v>
      </c>
      <c r="F58" s="34">
        <v>1</v>
      </c>
      <c r="G58" s="19" t="s">
        <v>336</v>
      </c>
      <c r="H58" s="24">
        <v>1</v>
      </c>
      <c r="I58" s="32">
        <v>2299</v>
      </c>
      <c r="J58" s="12">
        <v>26</v>
      </c>
      <c r="K58" s="19"/>
      <c r="L58" s="1" t="s">
        <v>9</v>
      </c>
    </row>
    <row r="59" spans="1:12">
      <c r="A59" s="2">
        <v>58</v>
      </c>
      <c r="B59" s="37" t="s">
        <v>337</v>
      </c>
      <c r="C59" s="19" t="s">
        <v>389</v>
      </c>
      <c r="D59" s="20" t="s">
        <v>319</v>
      </c>
      <c r="E59" s="23" t="s">
        <v>19</v>
      </c>
      <c r="F59" s="34">
        <v>1</v>
      </c>
      <c r="G59" s="19" t="s">
        <v>336</v>
      </c>
      <c r="H59" s="24">
        <v>1</v>
      </c>
      <c r="I59" s="32">
        <v>2299</v>
      </c>
      <c r="J59" s="12">
        <v>26</v>
      </c>
      <c r="K59" s="19"/>
      <c r="L59" s="1" t="s">
        <v>9</v>
      </c>
    </row>
    <row r="60" spans="1:12" s="10" customFormat="1">
      <c r="A60" s="53">
        <v>59</v>
      </c>
      <c r="B60" s="54" t="s">
        <v>587</v>
      </c>
      <c r="C60" s="55" t="s">
        <v>343</v>
      </c>
      <c r="D60" s="56" t="s">
        <v>484</v>
      </c>
      <c r="E60" s="57" t="s">
        <v>21</v>
      </c>
      <c r="F60" s="58">
        <v>2</v>
      </c>
      <c r="G60" s="55" t="s">
        <v>591</v>
      </c>
      <c r="H60" s="59">
        <v>11</v>
      </c>
      <c r="I60" s="60"/>
      <c r="J60" s="61">
        <v>72</v>
      </c>
      <c r="K60" s="55"/>
      <c r="L60" s="53" t="s">
        <v>9</v>
      </c>
    </row>
    <row r="61" spans="1:12" s="10" customFormat="1">
      <c r="A61" s="53">
        <v>60</v>
      </c>
      <c r="B61" s="54" t="s">
        <v>588</v>
      </c>
      <c r="C61" s="55" t="s">
        <v>343</v>
      </c>
      <c r="D61" s="56" t="s">
        <v>484</v>
      </c>
      <c r="E61" s="57" t="s">
        <v>21</v>
      </c>
      <c r="F61" s="58">
        <v>1</v>
      </c>
      <c r="G61" s="55" t="s">
        <v>591</v>
      </c>
      <c r="H61" s="59">
        <v>5</v>
      </c>
      <c r="I61" s="60"/>
      <c r="J61" s="61">
        <v>36</v>
      </c>
      <c r="K61" s="55"/>
      <c r="L61" s="53" t="s">
        <v>9</v>
      </c>
    </row>
    <row r="62" spans="1:12" s="10" customFormat="1">
      <c r="A62" s="53">
        <v>61</v>
      </c>
      <c r="B62" s="54" t="s">
        <v>589</v>
      </c>
      <c r="C62" s="55" t="s">
        <v>389</v>
      </c>
      <c r="D62" s="56" t="s">
        <v>484</v>
      </c>
      <c r="E62" s="57" t="s">
        <v>21</v>
      </c>
      <c r="F62" s="58">
        <v>1</v>
      </c>
      <c r="G62" s="55" t="s">
        <v>592</v>
      </c>
      <c r="H62" s="59">
        <v>2</v>
      </c>
      <c r="I62" s="60"/>
      <c r="J62" s="61">
        <v>36</v>
      </c>
      <c r="K62" s="55"/>
      <c r="L62" s="53" t="s">
        <v>9</v>
      </c>
    </row>
    <row r="63" spans="1:12" s="10" customFormat="1">
      <c r="A63" s="53">
        <v>62</v>
      </c>
      <c r="B63" s="54" t="s">
        <v>590</v>
      </c>
      <c r="C63" s="55" t="s">
        <v>389</v>
      </c>
      <c r="D63" s="56" t="s">
        <v>484</v>
      </c>
      <c r="E63" s="57" t="s">
        <v>21</v>
      </c>
      <c r="F63" s="58">
        <v>1</v>
      </c>
      <c r="G63" s="55" t="s">
        <v>593</v>
      </c>
      <c r="H63" s="59">
        <v>11</v>
      </c>
      <c r="I63" s="60"/>
      <c r="J63" s="61">
        <v>36</v>
      </c>
      <c r="K63" s="55"/>
      <c r="L63" s="53" t="s">
        <v>9</v>
      </c>
    </row>
    <row r="64" spans="1:12" s="10" customFormat="1">
      <c r="A64" s="53">
        <v>63</v>
      </c>
      <c r="B64" s="54" t="s">
        <v>87</v>
      </c>
      <c r="C64" s="55" t="s">
        <v>389</v>
      </c>
      <c r="D64" s="56" t="s">
        <v>485</v>
      </c>
      <c r="E64" s="57" t="s">
        <v>21</v>
      </c>
      <c r="F64" s="58">
        <v>2</v>
      </c>
      <c r="G64" s="55" t="s">
        <v>556</v>
      </c>
      <c r="H64" s="59">
        <v>2</v>
      </c>
      <c r="I64" s="60"/>
      <c r="J64" s="61">
        <v>72</v>
      </c>
      <c r="K64" s="55"/>
      <c r="L64" s="53" t="s">
        <v>9</v>
      </c>
    </row>
    <row r="65" spans="1:12" s="10" customFormat="1">
      <c r="A65" s="53">
        <v>65</v>
      </c>
      <c r="B65" s="54"/>
      <c r="C65" s="55" t="s">
        <v>389</v>
      </c>
      <c r="D65" s="56" t="s">
        <v>404</v>
      </c>
      <c r="E65" s="57" t="s">
        <v>373</v>
      </c>
      <c r="F65" s="58">
        <v>1</v>
      </c>
      <c r="G65" s="55" t="s">
        <v>73</v>
      </c>
      <c r="H65" s="59">
        <v>76</v>
      </c>
      <c r="I65" s="60">
        <v>1936</v>
      </c>
      <c r="J65" s="61">
        <v>60</v>
      </c>
      <c r="K65" s="55"/>
      <c r="L65" s="53" t="s">
        <v>9</v>
      </c>
    </row>
    <row r="66" spans="1:12" s="10" customFormat="1">
      <c r="A66" s="53">
        <v>66</v>
      </c>
      <c r="B66" s="54"/>
      <c r="C66" s="55" t="s">
        <v>389</v>
      </c>
      <c r="D66" s="56" t="s">
        <v>404</v>
      </c>
      <c r="E66" s="57" t="s">
        <v>445</v>
      </c>
      <c r="F66" s="58">
        <v>1</v>
      </c>
      <c r="G66" s="55" t="s">
        <v>446</v>
      </c>
      <c r="H66" s="59">
        <v>5</v>
      </c>
      <c r="I66" s="60">
        <v>1936</v>
      </c>
      <c r="J66" s="61">
        <v>85</v>
      </c>
      <c r="K66" s="55"/>
      <c r="L66" s="53" t="s">
        <v>9</v>
      </c>
    </row>
    <row r="67" spans="1:12" s="10" customFormat="1">
      <c r="A67" s="53">
        <v>71</v>
      </c>
      <c r="B67" s="54" t="s">
        <v>434</v>
      </c>
      <c r="C67" s="55" t="s">
        <v>389</v>
      </c>
      <c r="D67" s="56" t="s">
        <v>405</v>
      </c>
      <c r="E67" s="57" t="s">
        <v>21</v>
      </c>
      <c r="F67" s="58">
        <v>3</v>
      </c>
      <c r="G67" s="55" t="s">
        <v>450</v>
      </c>
      <c r="H67" s="59">
        <v>32</v>
      </c>
      <c r="I67" s="60">
        <v>1936</v>
      </c>
      <c r="J67" s="61">
        <v>108</v>
      </c>
      <c r="K67" s="55"/>
      <c r="L67" s="53" t="s">
        <v>9</v>
      </c>
    </row>
    <row r="68" spans="1:12">
      <c r="A68" s="2">
        <v>72</v>
      </c>
      <c r="B68" s="37" t="s">
        <v>435</v>
      </c>
      <c r="C68" s="19" t="s">
        <v>389</v>
      </c>
      <c r="D68" s="20" t="s">
        <v>406</v>
      </c>
      <c r="E68" s="23" t="s">
        <v>21</v>
      </c>
      <c r="F68" s="34">
        <v>2</v>
      </c>
      <c r="G68" s="29" t="s">
        <v>447</v>
      </c>
      <c r="H68" s="24">
        <v>1</v>
      </c>
      <c r="I68" s="32">
        <v>2299</v>
      </c>
      <c r="J68" s="12">
        <v>72</v>
      </c>
      <c r="K68" s="19"/>
      <c r="L68" s="1" t="s">
        <v>9</v>
      </c>
    </row>
    <row r="69" spans="1:12">
      <c r="A69" s="2">
        <v>73</v>
      </c>
      <c r="B69" s="37" t="s">
        <v>282</v>
      </c>
      <c r="C69" s="19" t="s">
        <v>389</v>
      </c>
      <c r="D69" s="20" t="s">
        <v>488</v>
      </c>
      <c r="E69" s="23" t="s">
        <v>21</v>
      </c>
      <c r="F69" s="34">
        <v>1</v>
      </c>
      <c r="G69" s="29" t="s">
        <v>301</v>
      </c>
      <c r="H69" s="24">
        <v>1</v>
      </c>
      <c r="I69" s="32">
        <v>2299</v>
      </c>
      <c r="J69" s="12">
        <v>36</v>
      </c>
      <c r="K69" s="19"/>
      <c r="L69" s="1" t="s">
        <v>9</v>
      </c>
    </row>
    <row r="70" spans="1:12">
      <c r="A70" s="2">
        <v>74</v>
      </c>
      <c r="B70" s="37"/>
      <c r="C70" s="19" t="s">
        <v>389</v>
      </c>
      <c r="D70" s="20" t="s">
        <v>488</v>
      </c>
      <c r="E70" s="23" t="s">
        <v>448</v>
      </c>
      <c r="F70" s="34">
        <v>1</v>
      </c>
      <c r="G70" s="29" t="s">
        <v>375</v>
      </c>
      <c r="H70" s="24">
        <v>1</v>
      </c>
      <c r="I70" s="32">
        <v>2299</v>
      </c>
      <c r="J70" s="12">
        <v>22</v>
      </c>
      <c r="K70" s="19"/>
      <c r="L70" s="1" t="s">
        <v>9</v>
      </c>
    </row>
    <row r="71" spans="1:12">
      <c r="A71" s="2">
        <v>75</v>
      </c>
      <c r="B71" s="37"/>
      <c r="C71" s="19" t="s">
        <v>389</v>
      </c>
      <c r="D71" s="20" t="s">
        <v>490</v>
      </c>
      <c r="E71" s="23" t="s">
        <v>448</v>
      </c>
      <c r="F71" s="34">
        <v>1</v>
      </c>
      <c r="G71" s="29"/>
      <c r="H71" s="24">
        <v>1</v>
      </c>
      <c r="I71" s="32"/>
      <c r="J71" s="12">
        <v>22</v>
      </c>
      <c r="K71" s="19"/>
      <c r="L71" s="1" t="s">
        <v>9</v>
      </c>
    </row>
    <row r="72" spans="1:12">
      <c r="A72" s="2">
        <v>76</v>
      </c>
      <c r="B72" s="37"/>
      <c r="C72" s="19" t="s">
        <v>389</v>
      </c>
      <c r="D72" s="20" t="s">
        <v>491</v>
      </c>
      <c r="E72" s="23" t="s">
        <v>448</v>
      </c>
      <c r="F72" s="34">
        <v>1</v>
      </c>
      <c r="G72" s="29"/>
      <c r="H72" s="24">
        <v>1</v>
      </c>
      <c r="I72" s="32"/>
      <c r="J72" s="12">
        <v>22</v>
      </c>
      <c r="K72" s="19"/>
      <c r="L72" s="1" t="s">
        <v>9</v>
      </c>
    </row>
    <row r="73" spans="1:12">
      <c r="A73" s="2">
        <v>77</v>
      </c>
      <c r="B73" s="37" t="s">
        <v>283</v>
      </c>
      <c r="C73" s="19" t="s">
        <v>389</v>
      </c>
      <c r="D73" s="20" t="s">
        <v>65</v>
      </c>
      <c r="E73" s="23" t="s">
        <v>21</v>
      </c>
      <c r="F73" s="34">
        <v>1</v>
      </c>
      <c r="G73" s="29" t="s">
        <v>302</v>
      </c>
      <c r="H73" s="24">
        <v>2</v>
      </c>
      <c r="I73" s="32">
        <v>2299</v>
      </c>
      <c r="J73" s="12">
        <v>36</v>
      </c>
      <c r="K73" s="19"/>
      <c r="L73" s="1" t="s">
        <v>9</v>
      </c>
    </row>
    <row r="74" spans="1:12">
      <c r="A74" s="2">
        <v>78</v>
      </c>
      <c r="B74" s="37"/>
      <c r="C74" s="19" t="s">
        <v>389</v>
      </c>
      <c r="D74" s="20" t="s">
        <v>65</v>
      </c>
      <c r="E74" s="23" t="s">
        <v>373</v>
      </c>
      <c r="F74" s="34">
        <v>1</v>
      </c>
      <c r="G74" s="29" t="s">
        <v>73</v>
      </c>
      <c r="H74" s="24">
        <v>1</v>
      </c>
      <c r="I74" s="32">
        <v>2299</v>
      </c>
      <c r="J74" s="12">
        <v>60</v>
      </c>
      <c r="K74" s="19"/>
      <c r="L74" s="1" t="s">
        <v>9</v>
      </c>
    </row>
    <row r="75" spans="1:12">
      <c r="A75" s="2">
        <v>79</v>
      </c>
      <c r="B75" s="37" t="s">
        <v>292</v>
      </c>
      <c r="C75" s="19" t="s">
        <v>389</v>
      </c>
      <c r="D75" s="20" t="s">
        <v>407</v>
      </c>
      <c r="E75" s="23" t="s">
        <v>19</v>
      </c>
      <c r="F75" s="34">
        <v>1</v>
      </c>
      <c r="G75" s="29" t="s">
        <v>335</v>
      </c>
      <c r="H75" s="24">
        <v>2</v>
      </c>
      <c r="I75" s="32">
        <v>2601.5</v>
      </c>
      <c r="J75" s="12">
        <v>26</v>
      </c>
      <c r="K75" s="19"/>
      <c r="L75" s="1" t="s">
        <v>9</v>
      </c>
    </row>
    <row r="76" spans="1:12">
      <c r="A76" s="2">
        <v>80</v>
      </c>
      <c r="B76" s="37" t="s">
        <v>295</v>
      </c>
      <c r="C76" s="19" t="s">
        <v>389</v>
      </c>
      <c r="D76" s="20" t="s">
        <v>408</v>
      </c>
      <c r="E76" s="23" t="s">
        <v>21</v>
      </c>
      <c r="F76" s="34">
        <v>2</v>
      </c>
      <c r="G76" s="29" t="s">
        <v>308</v>
      </c>
      <c r="H76" s="24">
        <v>6</v>
      </c>
      <c r="I76" s="32">
        <v>8760</v>
      </c>
      <c r="J76" s="12">
        <v>72</v>
      </c>
      <c r="K76" s="19"/>
      <c r="L76" s="1" t="s">
        <v>9</v>
      </c>
    </row>
    <row r="77" spans="1:12">
      <c r="A77" s="2">
        <v>81</v>
      </c>
      <c r="B77" s="37" t="s">
        <v>295</v>
      </c>
      <c r="C77" s="19" t="s">
        <v>389</v>
      </c>
      <c r="D77" s="20" t="s">
        <v>409</v>
      </c>
      <c r="E77" s="23" t="s">
        <v>21</v>
      </c>
      <c r="F77" s="34">
        <v>2</v>
      </c>
      <c r="G77" s="29" t="s">
        <v>308</v>
      </c>
      <c r="H77" s="24">
        <v>3</v>
      </c>
      <c r="I77" s="32">
        <v>6824</v>
      </c>
      <c r="J77" s="12">
        <v>72</v>
      </c>
      <c r="K77" s="19"/>
      <c r="L77" s="1" t="s">
        <v>9</v>
      </c>
    </row>
    <row r="78" spans="1:12">
      <c r="A78" s="2">
        <v>82</v>
      </c>
      <c r="B78" s="37" t="s">
        <v>436</v>
      </c>
      <c r="C78" s="19" t="s">
        <v>389</v>
      </c>
      <c r="D78" s="20" t="s">
        <v>356</v>
      </c>
      <c r="E78" s="23" t="s">
        <v>21</v>
      </c>
      <c r="F78" s="34">
        <v>2</v>
      </c>
      <c r="G78" s="29" t="s">
        <v>308</v>
      </c>
      <c r="H78" s="24">
        <v>2</v>
      </c>
      <c r="I78" s="32">
        <v>2601.5</v>
      </c>
      <c r="J78" s="12">
        <v>72</v>
      </c>
      <c r="K78" s="19"/>
      <c r="L78" s="1" t="s">
        <v>9</v>
      </c>
    </row>
    <row r="79" spans="1:12">
      <c r="A79" s="2">
        <v>83</v>
      </c>
      <c r="B79" s="37" t="s">
        <v>437</v>
      </c>
      <c r="C79" s="19" t="s">
        <v>389</v>
      </c>
      <c r="D79" s="20" t="s">
        <v>356</v>
      </c>
      <c r="E79" s="23" t="s">
        <v>21</v>
      </c>
      <c r="F79" s="34">
        <v>1</v>
      </c>
      <c r="G79" s="29" t="s">
        <v>12</v>
      </c>
      <c r="H79" s="24">
        <v>1</v>
      </c>
      <c r="I79" s="32">
        <v>2601.5</v>
      </c>
      <c r="J79" s="12">
        <v>36</v>
      </c>
      <c r="K79" s="19"/>
      <c r="L79" s="1" t="s">
        <v>9</v>
      </c>
    </row>
    <row r="80" spans="1:12">
      <c r="A80" s="2">
        <v>84</v>
      </c>
      <c r="B80" s="37" t="s">
        <v>294</v>
      </c>
      <c r="C80" s="19" t="s">
        <v>389</v>
      </c>
      <c r="D80" s="20" t="s">
        <v>410</v>
      </c>
      <c r="E80" s="23" t="s">
        <v>21</v>
      </c>
      <c r="F80" s="34">
        <v>1</v>
      </c>
      <c r="G80" s="29" t="s">
        <v>251</v>
      </c>
      <c r="H80" s="24">
        <v>1</v>
      </c>
      <c r="I80" s="32">
        <v>2299</v>
      </c>
      <c r="J80" s="12">
        <v>36</v>
      </c>
      <c r="K80" s="19"/>
      <c r="L80" s="1" t="s">
        <v>9</v>
      </c>
    </row>
    <row r="81" spans="1:12">
      <c r="A81" s="2">
        <v>85</v>
      </c>
      <c r="B81" s="37" t="s">
        <v>294</v>
      </c>
      <c r="C81" s="19" t="s">
        <v>389</v>
      </c>
      <c r="D81" s="20" t="s">
        <v>411</v>
      </c>
      <c r="E81" s="23" t="s">
        <v>21</v>
      </c>
      <c r="F81" s="34">
        <v>1</v>
      </c>
      <c r="G81" s="29" t="s">
        <v>440</v>
      </c>
      <c r="H81" s="24">
        <v>3</v>
      </c>
      <c r="I81" s="32">
        <v>2299</v>
      </c>
      <c r="J81" s="12">
        <v>36</v>
      </c>
      <c r="K81" s="19"/>
      <c r="L81" s="1" t="s">
        <v>9</v>
      </c>
    </row>
    <row r="82" spans="1:12">
      <c r="A82" s="2">
        <v>86</v>
      </c>
      <c r="B82" s="37" t="s">
        <v>432</v>
      </c>
      <c r="C82" s="19" t="s">
        <v>389</v>
      </c>
      <c r="D82" s="20" t="s">
        <v>411</v>
      </c>
      <c r="E82" s="23" t="s">
        <v>21</v>
      </c>
      <c r="F82" s="34">
        <v>2</v>
      </c>
      <c r="G82" s="29" t="s">
        <v>440</v>
      </c>
      <c r="H82" s="24">
        <v>1</v>
      </c>
      <c r="I82" s="32">
        <v>2299</v>
      </c>
      <c r="J82" s="12">
        <v>72</v>
      </c>
      <c r="K82" s="19"/>
      <c r="L82" s="1" t="s">
        <v>9</v>
      </c>
    </row>
    <row r="83" spans="1:12">
      <c r="A83" s="2">
        <v>87</v>
      </c>
      <c r="B83" s="37" t="s">
        <v>431</v>
      </c>
      <c r="C83" s="19" t="s">
        <v>389</v>
      </c>
      <c r="D83" s="20" t="s">
        <v>412</v>
      </c>
      <c r="E83" s="23" t="s">
        <v>21</v>
      </c>
      <c r="F83" s="34">
        <v>1</v>
      </c>
      <c r="G83" s="29" t="s">
        <v>302</v>
      </c>
      <c r="H83" s="24">
        <v>1</v>
      </c>
      <c r="I83" s="32">
        <v>2299</v>
      </c>
      <c r="J83" s="12">
        <v>36</v>
      </c>
      <c r="K83" s="19"/>
      <c r="L83" s="1" t="s">
        <v>9</v>
      </c>
    </row>
    <row r="84" spans="1:12">
      <c r="A84" s="2">
        <v>88</v>
      </c>
      <c r="B84" s="37" t="s">
        <v>294</v>
      </c>
      <c r="C84" s="19" t="s">
        <v>389</v>
      </c>
      <c r="D84" s="20" t="s">
        <v>413</v>
      </c>
      <c r="E84" s="23" t="s">
        <v>21</v>
      </c>
      <c r="F84" s="34">
        <v>1</v>
      </c>
      <c r="G84" s="29" t="s">
        <v>251</v>
      </c>
      <c r="H84" s="24">
        <v>2</v>
      </c>
      <c r="I84" s="32">
        <v>2299</v>
      </c>
      <c r="J84" s="12">
        <v>36</v>
      </c>
      <c r="K84" s="19"/>
      <c r="L84" s="1" t="s">
        <v>9</v>
      </c>
    </row>
    <row r="85" spans="1:12">
      <c r="A85" s="2">
        <v>89</v>
      </c>
      <c r="B85" s="37" t="s">
        <v>432</v>
      </c>
      <c r="C85" s="19" t="s">
        <v>389</v>
      </c>
      <c r="D85" s="20" t="s">
        <v>413</v>
      </c>
      <c r="E85" s="23" t="s">
        <v>21</v>
      </c>
      <c r="F85" s="34">
        <v>2</v>
      </c>
      <c r="G85" s="29" t="s">
        <v>251</v>
      </c>
      <c r="H85" s="24">
        <v>2</v>
      </c>
      <c r="I85" s="32">
        <v>2299</v>
      </c>
      <c r="J85" s="12">
        <v>72</v>
      </c>
      <c r="K85" s="19"/>
      <c r="L85" s="1" t="s">
        <v>9</v>
      </c>
    </row>
    <row r="86" spans="1:12">
      <c r="A86" s="2">
        <v>90</v>
      </c>
      <c r="B86" s="37" t="s">
        <v>294</v>
      </c>
      <c r="C86" s="19" t="s">
        <v>389</v>
      </c>
      <c r="D86" s="20" t="s">
        <v>414</v>
      </c>
      <c r="E86" s="23" t="s">
        <v>21</v>
      </c>
      <c r="F86" s="34">
        <v>1</v>
      </c>
      <c r="G86" s="29" t="s">
        <v>251</v>
      </c>
      <c r="H86" s="24">
        <v>3</v>
      </c>
      <c r="I86" s="32">
        <v>2299</v>
      </c>
      <c r="J86" s="12">
        <v>36</v>
      </c>
      <c r="K86" s="19"/>
      <c r="L86" s="1" t="s">
        <v>9</v>
      </c>
    </row>
    <row r="87" spans="1:12">
      <c r="A87" s="2">
        <v>91</v>
      </c>
      <c r="B87" s="37" t="s">
        <v>294</v>
      </c>
      <c r="C87" s="19" t="s">
        <v>389</v>
      </c>
      <c r="D87" s="20" t="s">
        <v>415</v>
      </c>
      <c r="E87" s="23" t="s">
        <v>21</v>
      </c>
      <c r="F87" s="34">
        <v>1</v>
      </c>
      <c r="G87" s="29" t="s">
        <v>251</v>
      </c>
      <c r="H87" s="24">
        <v>8</v>
      </c>
      <c r="I87" s="32">
        <v>2299</v>
      </c>
      <c r="J87" s="12">
        <v>36</v>
      </c>
      <c r="K87" s="19"/>
      <c r="L87" s="1" t="s">
        <v>9</v>
      </c>
    </row>
    <row r="88" spans="1:12">
      <c r="A88" s="2">
        <v>92</v>
      </c>
      <c r="B88" s="37" t="s">
        <v>435</v>
      </c>
      <c r="C88" s="19" t="s">
        <v>389</v>
      </c>
      <c r="D88" s="20" t="s">
        <v>406</v>
      </c>
      <c r="E88" s="23" t="s">
        <v>21</v>
      </c>
      <c r="F88" s="34">
        <v>2</v>
      </c>
      <c r="G88" s="29" t="s">
        <v>447</v>
      </c>
      <c r="H88" s="24">
        <v>1</v>
      </c>
      <c r="I88" s="32">
        <v>2299</v>
      </c>
      <c r="J88" s="12">
        <v>72</v>
      </c>
      <c r="K88" s="19"/>
      <c r="L88" s="1" t="s">
        <v>9</v>
      </c>
    </row>
    <row r="89" spans="1:12">
      <c r="A89" s="2">
        <v>93</v>
      </c>
      <c r="B89" s="37" t="s">
        <v>285</v>
      </c>
      <c r="C89" s="19" t="s">
        <v>389</v>
      </c>
      <c r="D89" s="20" t="s">
        <v>279</v>
      </c>
      <c r="E89" s="23" t="s">
        <v>21</v>
      </c>
      <c r="F89" s="34">
        <v>1</v>
      </c>
      <c r="G89" s="29" t="s">
        <v>551</v>
      </c>
      <c r="H89" s="24">
        <v>2</v>
      </c>
      <c r="I89" s="32">
        <v>2601.5</v>
      </c>
      <c r="J89" s="12">
        <v>36</v>
      </c>
      <c r="K89" s="19"/>
      <c r="L89" s="1" t="s">
        <v>9</v>
      </c>
    </row>
    <row r="90" spans="1:12">
      <c r="A90" s="2">
        <v>94</v>
      </c>
      <c r="B90" s="37"/>
      <c r="C90" s="19" t="s">
        <v>343</v>
      </c>
      <c r="D90" s="20" t="s">
        <v>493</v>
      </c>
      <c r="E90" s="23" t="s">
        <v>373</v>
      </c>
      <c r="F90" s="34">
        <v>1</v>
      </c>
      <c r="G90" s="29" t="s">
        <v>441</v>
      </c>
      <c r="H90" s="24">
        <v>1</v>
      </c>
      <c r="I90" s="32">
        <v>2299</v>
      </c>
      <c r="J90" s="12">
        <v>60</v>
      </c>
      <c r="K90" s="19"/>
      <c r="L90" s="1" t="s">
        <v>9</v>
      </c>
    </row>
    <row r="91" spans="1:12">
      <c r="A91" s="2">
        <v>95</v>
      </c>
      <c r="B91" s="37" t="s">
        <v>294</v>
      </c>
      <c r="C91" s="19" t="s">
        <v>389</v>
      </c>
      <c r="D91" s="20" t="s">
        <v>416</v>
      </c>
      <c r="E91" s="23" t="s">
        <v>21</v>
      </c>
      <c r="F91" s="34">
        <v>1</v>
      </c>
      <c r="G91" s="29" t="s">
        <v>251</v>
      </c>
      <c r="H91" s="24">
        <v>2</v>
      </c>
      <c r="I91" s="32">
        <v>2299</v>
      </c>
      <c r="J91" s="12">
        <v>36</v>
      </c>
      <c r="K91" s="19"/>
      <c r="L91" s="1" t="s">
        <v>9</v>
      </c>
    </row>
    <row r="92" spans="1:12">
      <c r="A92" s="2">
        <v>96</v>
      </c>
      <c r="B92" s="37" t="s">
        <v>431</v>
      </c>
      <c r="C92" s="19" t="s">
        <v>389</v>
      </c>
      <c r="D92" s="20" t="s">
        <v>418</v>
      </c>
      <c r="E92" s="23" t="s">
        <v>21</v>
      </c>
      <c r="F92" s="34">
        <v>1</v>
      </c>
      <c r="G92" s="29" t="s">
        <v>302</v>
      </c>
      <c r="H92" s="24">
        <v>2</v>
      </c>
      <c r="I92" s="32">
        <v>2299</v>
      </c>
      <c r="J92" s="12">
        <v>36</v>
      </c>
      <c r="K92" s="19"/>
      <c r="L92" s="1" t="s">
        <v>9</v>
      </c>
    </row>
    <row r="93" spans="1:12">
      <c r="A93" s="2">
        <v>97</v>
      </c>
      <c r="B93" s="37"/>
      <c r="C93" s="19" t="s">
        <v>343</v>
      </c>
      <c r="D93" s="20" t="s">
        <v>496</v>
      </c>
      <c r="E93" s="23" t="s">
        <v>164</v>
      </c>
      <c r="F93" s="34">
        <v>1</v>
      </c>
      <c r="G93" s="29" t="s">
        <v>543</v>
      </c>
      <c r="H93" s="24">
        <v>1</v>
      </c>
      <c r="I93" s="32"/>
      <c r="J93" s="12">
        <v>22</v>
      </c>
      <c r="K93" s="19" t="s">
        <v>498</v>
      </c>
      <c r="L93" s="1" t="s">
        <v>9</v>
      </c>
    </row>
    <row r="94" spans="1:12">
      <c r="A94" s="25">
        <v>98</v>
      </c>
      <c r="B94" s="40"/>
      <c r="C94" s="46" t="s">
        <v>343</v>
      </c>
      <c r="D94" s="26" t="s">
        <v>497</v>
      </c>
      <c r="E94" s="27" t="s">
        <v>75</v>
      </c>
      <c r="F94" s="47">
        <v>1</v>
      </c>
      <c r="G94" s="46" t="s">
        <v>472</v>
      </c>
      <c r="H94" s="28">
        <v>3</v>
      </c>
      <c r="I94" s="42"/>
      <c r="J94" s="45"/>
      <c r="K94" s="46"/>
      <c r="L94" s="25" t="s">
        <v>386</v>
      </c>
    </row>
    <row r="95" spans="1:12">
      <c r="A95" s="2">
        <v>99</v>
      </c>
      <c r="B95" s="37" t="s">
        <v>295</v>
      </c>
      <c r="C95" s="19" t="s">
        <v>389</v>
      </c>
      <c r="D95" s="20" t="s">
        <v>419</v>
      </c>
      <c r="E95" s="23" t="s">
        <v>21</v>
      </c>
      <c r="F95" s="34">
        <v>2</v>
      </c>
      <c r="G95" s="29" t="s">
        <v>308</v>
      </c>
      <c r="H95" s="24">
        <v>2</v>
      </c>
      <c r="I95" s="32">
        <v>6824</v>
      </c>
      <c r="J95" s="12">
        <v>72</v>
      </c>
      <c r="K95" s="19"/>
      <c r="L95" s="1" t="s">
        <v>9</v>
      </c>
    </row>
    <row r="96" spans="1:12">
      <c r="A96" s="2">
        <v>100</v>
      </c>
      <c r="B96" s="37" t="s">
        <v>438</v>
      </c>
      <c r="C96" s="19" t="s">
        <v>389</v>
      </c>
      <c r="D96" s="20" t="s">
        <v>419</v>
      </c>
      <c r="E96" s="23" t="s">
        <v>19</v>
      </c>
      <c r="F96" s="34">
        <v>2</v>
      </c>
      <c r="G96" s="29" t="s">
        <v>335</v>
      </c>
      <c r="H96" s="24">
        <v>1</v>
      </c>
      <c r="I96" s="32">
        <v>6824</v>
      </c>
      <c r="J96" s="12">
        <v>52</v>
      </c>
      <c r="K96" s="19"/>
      <c r="L96" s="1" t="s">
        <v>9</v>
      </c>
    </row>
    <row r="97" spans="1:12">
      <c r="A97" s="2">
        <v>101</v>
      </c>
      <c r="B97" s="37" t="s">
        <v>282</v>
      </c>
      <c r="C97" s="19" t="s">
        <v>389</v>
      </c>
      <c r="D97" s="20" t="s">
        <v>419</v>
      </c>
      <c r="E97" s="23" t="s">
        <v>21</v>
      </c>
      <c r="F97" s="34">
        <v>1</v>
      </c>
      <c r="G97" s="29" t="s">
        <v>301</v>
      </c>
      <c r="H97" s="24">
        <v>1</v>
      </c>
      <c r="I97" s="32">
        <v>6824</v>
      </c>
      <c r="J97" s="12">
        <v>36</v>
      </c>
      <c r="K97" s="19"/>
      <c r="L97" s="1" t="s">
        <v>9</v>
      </c>
    </row>
    <row r="98" spans="1:12">
      <c r="A98" s="2">
        <v>102</v>
      </c>
      <c r="B98" s="37" t="s">
        <v>282</v>
      </c>
      <c r="C98" s="19" t="s">
        <v>389</v>
      </c>
      <c r="D98" s="20" t="s">
        <v>420</v>
      </c>
      <c r="E98" s="23" t="s">
        <v>21</v>
      </c>
      <c r="F98" s="34">
        <v>1</v>
      </c>
      <c r="G98" s="29" t="s">
        <v>301</v>
      </c>
      <c r="H98" s="24">
        <v>2</v>
      </c>
      <c r="I98" s="32">
        <v>2299</v>
      </c>
      <c r="J98" s="12">
        <v>36</v>
      </c>
      <c r="K98" s="19"/>
      <c r="L98" s="1" t="s">
        <v>9</v>
      </c>
    </row>
    <row r="99" spans="1:12">
      <c r="A99" s="2">
        <v>103</v>
      </c>
      <c r="B99" s="37" t="s">
        <v>295</v>
      </c>
      <c r="C99" s="19" t="s">
        <v>389</v>
      </c>
      <c r="D99" s="20" t="s">
        <v>421</v>
      </c>
      <c r="E99" s="23" t="s">
        <v>21</v>
      </c>
      <c r="F99" s="34">
        <v>2</v>
      </c>
      <c r="G99" s="29" t="s">
        <v>308</v>
      </c>
      <c r="H99" s="24">
        <v>3</v>
      </c>
      <c r="I99" s="32">
        <v>2299</v>
      </c>
      <c r="J99" s="12">
        <v>72</v>
      </c>
      <c r="K99" s="19"/>
      <c r="L99" s="1" t="s">
        <v>9</v>
      </c>
    </row>
    <row r="100" spans="1:12">
      <c r="A100" s="2">
        <v>104</v>
      </c>
      <c r="B100" s="37" t="s">
        <v>295</v>
      </c>
      <c r="C100" s="19" t="s">
        <v>389</v>
      </c>
      <c r="D100" s="20" t="s">
        <v>422</v>
      </c>
      <c r="E100" s="23" t="s">
        <v>21</v>
      </c>
      <c r="F100" s="34">
        <v>2</v>
      </c>
      <c r="G100" s="29" t="s">
        <v>308</v>
      </c>
      <c r="H100" s="24">
        <v>4</v>
      </c>
      <c r="I100" s="32">
        <v>2299</v>
      </c>
      <c r="J100" s="12">
        <v>72</v>
      </c>
      <c r="K100" s="19"/>
      <c r="L100" s="1" t="s">
        <v>9</v>
      </c>
    </row>
    <row r="101" spans="1:12">
      <c r="A101" s="2">
        <v>105</v>
      </c>
      <c r="B101" s="37" t="s">
        <v>294</v>
      </c>
      <c r="C101" s="19" t="s">
        <v>389</v>
      </c>
      <c r="D101" s="20" t="s">
        <v>423</v>
      </c>
      <c r="E101" s="23" t="s">
        <v>21</v>
      </c>
      <c r="F101" s="34">
        <v>1</v>
      </c>
      <c r="G101" s="29" t="s">
        <v>251</v>
      </c>
      <c r="H101" s="24">
        <v>1</v>
      </c>
      <c r="I101" s="32">
        <v>2299</v>
      </c>
      <c r="J101" s="12">
        <v>36</v>
      </c>
      <c r="K101" s="19"/>
      <c r="L101" s="1" t="s">
        <v>9</v>
      </c>
    </row>
    <row r="102" spans="1:12">
      <c r="A102" s="2">
        <v>106</v>
      </c>
      <c r="B102" s="37" t="s">
        <v>294</v>
      </c>
      <c r="C102" s="19" t="s">
        <v>389</v>
      </c>
      <c r="D102" s="20" t="s">
        <v>424</v>
      </c>
      <c r="E102" s="23" t="s">
        <v>21</v>
      </c>
      <c r="F102" s="34">
        <v>1</v>
      </c>
      <c r="G102" s="29" t="s">
        <v>251</v>
      </c>
      <c r="H102" s="24">
        <v>2</v>
      </c>
      <c r="I102" s="32">
        <v>2299</v>
      </c>
      <c r="J102" s="12">
        <v>36</v>
      </c>
      <c r="K102" s="19"/>
      <c r="L102" s="1" t="s">
        <v>9</v>
      </c>
    </row>
    <row r="103" spans="1:12">
      <c r="A103" s="2">
        <v>107</v>
      </c>
      <c r="B103" s="37" t="s">
        <v>432</v>
      </c>
      <c r="C103" s="19" t="s">
        <v>389</v>
      </c>
      <c r="D103" s="20" t="s">
        <v>425</v>
      </c>
      <c r="E103" s="23" t="s">
        <v>21</v>
      </c>
      <c r="F103" s="34">
        <v>2</v>
      </c>
      <c r="G103" s="29" t="s">
        <v>251</v>
      </c>
      <c r="H103" s="24">
        <v>1</v>
      </c>
      <c r="I103" s="32">
        <v>2299</v>
      </c>
      <c r="J103" s="12">
        <v>72</v>
      </c>
      <c r="K103" s="19"/>
      <c r="L103" s="1" t="s">
        <v>9</v>
      </c>
    </row>
    <row r="104" spans="1:12">
      <c r="A104" s="2">
        <v>108</v>
      </c>
      <c r="B104" s="37" t="s">
        <v>294</v>
      </c>
      <c r="C104" s="19" t="s">
        <v>389</v>
      </c>
      <c r="D104" s="20" t="s">
        <v>426</v>
      </c>
      <c r="E104" s="23" t="s">
        <v>21</v>
      </c>
      <c r="F104" s="34">
        <v>1</v>
      </c>
      <c r="G104" s="29" t="s">
        <v>251</v>
      </c>
      <c r="H104" s="24">
        <v>1</v>
      </c>
      <c r="I104" s="32">
        <v>2299</v>
      </c>
      <c r="J104" s="12">
        <v>36</v>
      </c>
      <c r="K104" s="19"/>
      <c r="L104" s="1" t="s">
        <v>9</v>
      </c>
    </row>
    <row r="105" spans="1:12">
      <c r="A105" s="2">
        <v>109</v>
      </c>
      <c r="B105" s="37" t="s">
        <v>82</v>
      </c>
      <c r="C105" s="19" t="s">
        <v>343</v>
      </c>
      <c r="D105" s="20" t="s">
        <v>492</v>
      </c>
      <c r="E105" s="23" t="s">
        <v>21</v>
      </c>
      <c r="F105" s="34">
        <v>1</v>
      </c>
      <c r="G105" s="29" t="s">
        <v>88</v>
      </c>
      <c r="H105" s="24">
        <v>1</v>
      </c>
      <c r="I105" s="32">
        <v>2299</v>
      </c>
      <c r="J105" s="12">
        <v>36</v>
      </c>
      <c r="K105" s="19"/>
      <c r="L105" s="1" t="s">
        <v>9</v>
      </c>
    </row>
    <row r="106" spans="1:12">
      <c r="A106" s="2">
        <v>110</v>
      </c>
      <c r="B106" s="37" t="s">
        <v>432</v>
      </c>
      <c r="C106" s="19" t="s">
        <v>389</v>
      </c>
      <c r="D106" s="20" t="s">
        <v>427</v>
      </c>
      <c r="E106" s="23" t="s">
        <v>21</v>
      </c>
      <c r="F106" s="34">
        <v>2</v>
      </c>
      <c r="G106" s="29" t="s">
        <v>251</v>
      </c>
      <c r="H106" s="24">
        <v>5</v>
      </c>
      <c r="I106" s="32">
        <v>2299</v>
      </c>
      <c r="J106" s="12">
        <v>72</v>
      </c>
      <c r="K106" s="19"/>
      <c r="L106" s="1" t="s">
        <v>9</v>
      </c>
    </row>
    <row r="107" spans="1:12">
      <c r="A107" s="2">
        <v>111</v>
      </c>
      <c r="B107" s="37" t="s">
        <v>294</v>
      </c>
      <c r="C107" s="19" t="s">
        <v>389</v>
      </c>
      <c r="D107" s="20" t="s">
        <v>427</v>
      </c>
      <c r="E107" s="23" t="s">
        <v>21</v>
      </c>
      <c r="F107" s="34">
        <v>1</v>
      </c>
      <c r="G107" s="29" t="s">
        <v>251</v>
      </c>
      <c r="H107" s="24">
        <v>1</v>
      </c>
      <c r="I107" s="32">
        <v>2299</v>
      </c>
      <c r="J107" s="12">
        <v>36</v>
      </c>
      <c r="K107" s="19"/>
      <c r="L107" s="1" t="s">
        <v>9</v>
      </c>
    </row>
    <row r="108" spans="1:12">
      <c r="A108" s="2">
        <v>112</v>
      </c>
      <c r="B108" s="37" t="s">
        <v>432</v>
      </c>
      <c r="C108" s="19" t="s">
        <v>389</v>
      </c>
      <c r="D108" s="20" t="s">
        <v>428</v>
      </c>
      <c r="E108" s="23" t="s">
        <v>21</v>
      </c>
      <c r="F108" s="34">
        <v>2</v>
      </c>
      <c r="G108" s="29" t="s">
        <v>251</v>
      </c>
      <c r="H108" s="24">
        <v>22</v>
      </c>
      <c r="I108" s="32">
        <v>2299</v>
      </c>
      <c r="J108" s="12">
        <v>72</v>
      </c>
      <c r="K108" s="19"/>
      <c r="L108" s="1" t="s">
        <v>9</v>
      </c>
    </row>
    <row r="109" spans="1:12">
      <c r="A109" s="25">
        <v>113</v>
      </c>
      <c r="B109" s="40"/>
      <c r="C109" s="46" t="s">
        <v>389</v>
      </c>
      <c r="D109" s="26" t="s">
        <v>428</v>
      </c>
      <c r="E109" s="27" t="s">
        <v>75</v>
      </c>
      <c r="F109" s="47">
        <v>1</v>
      </c>
      <c r="G109" s="46" t="s">
        <v>88</v>
      </c>
      <c r="H109" s="28">
        <v>1</v>
      </c>
      <c r="I109" s="42">
        <v>2299</v>
      </c>
      <c r="J109" s="45"/>
      <c r="K109" s="46"/>
      <c r="L109" s="25" t="s">
        <v>386</v>
      </c>
    </row>
    <row r="110" spans="1:12">
      <c r="A110" s="2">
        <v>114</v>
      </c>
      <c r="B110" s="37" t="s">
        <v>294</v>
      </c>
      <c r="C110" s="19" t="s">
        <v>389</v>
      </c>
      <c r="D110" s="20" t="s">
        <v>428</v>
      </c>
      <c r="E110" s="23" t="s">
        <v>21</v>
      </c>
      <c r="F110" s="34">
        <v>1</v>
      </c>
      <c r="G110" s="29" t="s">
        <v>251</v>
      </c>
      <c r="H110" s="24">
        <v>13</v>
      </c>
      <c r="I110" s="32">
        <v>2299</v>
      </c>
      <c r="J110" s="12">
        <v>36</v>
      </c>
      <c r="K110" s="19"/>
      <c r="L110" s="1" t="s">
        <v>9</v>
      </c>
    </row>
    <row r="111" spans="1:12">
      <c r="A111" s="2">
        <v>115</v>
      </c>
      <c r="B111" s="37"/>
      <c r="C111" s="19" t="s">
        <v>389</v>
      </c>
      <c r="D111" s="20" t="s">
        <v>429</v>
      </c>
      <c r="E111" s="23" t="s">
        <v>384</v>
      </c>
      <c r="F111" s="34">
        <v>1</v>
      </c>
      <c r="G111" s="29" t="s">
        <v>251</v>
      </c>
      <c r="H111" s="24">
        <v>8</v>
      </c>
      <c r="I111" s="32">
        <v>2299</v>
      </c>
      <c r="J111" s="12">
        <v>36</v>
      </c>
      <c r="K111" s="19"/>
      <c r="L111" s="1" t="s">
        <v>9</v>
      </c>
    </row>
    <row r="112" spans="1:12">
      <c r="A112" s="2">
        <v>116</v>
      </c>
      <c r="B112" s="37"/>
      <c r="C112" s="19" t="s">
        <v>389</v>
      </c>
      <c r="D112" s="20" t="s">
        <v>430</v>
      </c>
      <c r="E112" s="23" t="s">
        <v>373</v>
      </c>
      <c r="F112" s="34">
        <v>1</v>
      </c>
      <c r="G112" s="29" t="s">
        <v>73</v>
      </c>
      <c r="H112" s="24">
        <v>1</v>
      </c>
      <c r="I112" s="32">
        <v>2299</v>
      </c>
      <c r="J112" s="12">
        <v>60</v>
      </c>
      <c r="K112" s="19"/>
      <c r="L112" s="1" t="s">
        <v>9</v>
      </c>
    </row>
    <row r="113" spans="1:12">
      <c r="A113" s="7"/>
      <c r="B113" s="22"/>
      <c r="C113" s="22"/>
      <c r="D113" s="21"/>
      <c r="E113" s="22"/>
      <c r="F113" s="35"/>
      <c r="G113" s="21"/>
      <c r="H113" s="44">
        <f>SUM(H3:H112)</f>
        <v>505</v>
      </c>
      <c r="I113" s="21"/>
      <c r="J113" s="22"/>
      <c r="K113" s="22"/>
      <c r="L113" s="7"/>
    </row>
    <row r="114" spans="1:12">
      <c r="A114" s="7"/>
      <c r="B114" s="22"/>
      <c r="C114" s="22"/>
      <c r="D114" s="21"/>
      <c r="E114" s="22"/>
      <c r="F114" s="35"/>
      <c r="G114" s="21" t="s">
        <v>586</v>
      </c>
      <c r="H114" s="52">
        <v>9</v>
      </c>
      <c r="I114" s="21"/>
      <c r="J114" s="22"/>
      <c r="K114" s="22"/>
      <c r="L114" s="7"/>
    </row>
    <row r="115" spans="1:12">
      <c r="C115" s="22"/>
      <c r="D115" s="21"/>
      <c r="E115" s="22"/>
      <c r="F115" s="35"/>
      <c r="G115" s="21"/>
      <c r="H115" s="22"/>
      <c r="I115" s="21"/>
      <c r="J115" s="22"/>
      <c r="K115" s="22"/>
      <c r="L115" s="7"/>
    </row>
    <row r="116" spans="1:12">
      <c r="A116" t="s">
        <v>77</v>
      </c>
    </row>
    <row r="117" spans="1:12">
      <c r="A117" s="1">
        <v>102</v>
      </c>
      <c r="B117" s="19" t="s">
        <v>67</v>
      </c>
      <c r="C117" s="19" t="s">
        <v>343</v>
      </c>
      <c r="D117" s="19" t="s">
        <v>57</v>
      </c>
      <c r="E117" s="19" t="s">
        <v>97</v>
      </c>
      <c r="F117" s="33">
        <v>1</v>
      </c>
      <c r="G117" s="19" t="s">
        <v>594</v>
      </c>
      <c r="H117" s="19">
        <v>1</v>
      </c>
      <c r="I117" s="29">
        <v>8760</v>
      </c>
      <c r="J117" s="12">
        <v>4</v>
      </c>
      <c r="K117" s="19"/>
      <c r="L117" s="1" t="s">
        <v>9</v>
      </c>
    </row>
    <row r="118" spans="1:12">
      <c r="A118" s="1">
        <v>103</v>
      </c>
      <c r="B118" s="29" t="s">
        <v>67</v>
      </c>
      <c r="C118" s="29" t="s">
        <v>389</v>
      </c>
      <c r="D118" s="20" t="s">
        <v>397</v>
      </c>
      <c r="E118" s="19" t="s">
        <v>97</v>
      </c>
      <c r="F118" s="33">
        <v>1</v>
      </c>
      <c r="G118" s="19" t="s">
        <v>594</v>
      </c>
      <c r="H118" s="19">
        <v>1</v>
      </c>
      <c r="I118" s="29">
        <v>8760</v>
      </c>
      <c r="J118" s="12">
        <v>4</v>
      </c>
      <c r="K118" s="19"/>
      <c r="L118" s="1" t="s">
        <v>9</v>
      </c>
    </row>
    <row r="119" spans="1:12">
      <c r="A119" s="1">
        <v>104</v>
      </c>
      <c r="B119" s="29" t="s">
        <v>68</v>
      </c>
      <c r="C119" s="29" t="s">
        <v>389</v>
      </c>
      <c r="D119" s="20" t="s">
        <v>397</v>
      </c>
      <c r="E119" s="19" t="s">
        <v>98</v>
      </c>
      <c r="F119" s="33">
        <v>1</v>
      </c>
      <c r="G119" s="19" t="s">
        <v>594</v>
      </c>
      <c r="H119" s="19">
        <v>1</v>
      </c>
      <c r="I119" s="29">
        <v>8760</v>
      </c>
      <c r="J119" s="12">
        <v>4</v>
      </c>
      <c r="K119" s="19"/>
      <c r="L119" s="1" t="s">
        <v>9</v>
      </c>
    </row>
    <row r="120" spans="1:12">
      <c r="A120" s="1">
        <v>105</v>
      </c>
      <c r="B120" s="19" t="s">
        <v>67</v>
      </c>
      <c r="C120" s="19" t="s">
        <v>343</v>
      </c>
      <c r="D120" s="19" t="s">
        <v>65</v>
      </c>
      <c r="E120" s="19" t="s">
        <v>97</v>
      </c>
      <c r="F120" s="33">
        <v>1</v>
      </c>
      <c r="G120" s="19" t="s">
        <v>594</v>
      </c>
      <c r="H120" s="19">
        <v>1</v>
      </c>
      <c r="I120" s="29">
        <v>8760</v>
      </c>
      <c r="J120" s="12">
        <v>4</v>
      </c>
      <c r="K120" s="19"/>
      <c r="L120" s="1" t="s">
        <v>9</v>
      </c>
    </row>
    <row r="121" spans="1:12">
      <c r="A121" s="1">
        <v>106</v>
      </c>
      <c r="B121" s="19" t="s">
        <v>67</v>
      </c>
      <c r="C121" s="19" t="s">
        <v>343</v>
      </c>
      <c r="D121" s="19" t="s">
        <v>453</v>
      </c>
      <c r="E121" s="19" t="s">
        <v>97</v>
      </c>
      <c r="F121" s="33">
        <v>1</v>
      </c>
      <c r="G121" s="19" t="s">
        <v>594</v>
      </c>
      <c r="H121" s="19">
        <v>1</v>
      </c>
      <c r="I121" s="29">
        <v>8760</v>
      </c>
      <c r="J121" s="12">
        <v>4</v>
      </c>
      <c r="K121" s="19"/>
      <c r="L121" s="1" t="s">
        <v>9</v>
      </c>
    </row>
    <row r="122" spans="1:12">
      <c r="A122" s="1">
        <v>107</v>
      </c>
      <c r="B122" s="29" t="s">
        <v>67</v>
      </c>
      <c r="C122" s="29" t="s">
        <v>389</v>
      </c>
      <c r="D122" s="20" t="s">
        <v>265</v>
      </c>
      <c r="E122" s="19" t="s">
        <v>97</v>
      </c>
      <c r="F122" s="33">
        <v>1</v>
      </c>
      <c r="G122" s="19" t="s">
        <v>594</v>
      </c>
      <c r="H122" s="19">
        <v>1</v>
      </c>
      <c r="I122" s="29">
        <v>8760</v>
      </c>
      <c r="J122" s="12">
        <v>4</v>
      </c>
      <c r="K122" s="19"/>
      <c r="L122" s="1" t="s">
        <v>9</v>
      </c>
    </row>
    <row r="123" spans="1:12">
      <c r="A123" s="1">
        <v>109</v>
      </c>
      <c r="B123" s="29" t="s">
        <v>162</v>
      </c>
      <c r="C123" s="29" t="s">
        <v>389</v>
      </c>
      <c r="D123" s="20" t="s">
        <v>391</v>
      </c>
      <c r="E123" s="19" t="s">
        <v>97</v>
      </c>
      <c r="F123" s="33">
        <v>1</v>
      </c>
      <c r="G123" s="19" t="s">
        <v>595</v>
      </c>
      <c r="H123" s="19">
        <v>1</v>
      </c>
      <c r="I123" s="29">
        <v>8760</v>
      </c>
      <c r="J123" s="12">
        <v>7</v>
      </c>
      <c r="K123" s="19"/>
      <c r="L123" s="1" t="s">
        <v>9</v>
      </c>
    </row>
    <row r="124" spans="1:12">
      <c r="A124" s="1">
        <v>110</v>
      </c>
      <c r="B124" s="29" t="s">
        <v>67</v>
      </c>
      <c r="C124" s="29" t="s">
        <v>389</v>
      </c>
      <c r="D124" s="20" t="s">
        <v>401</v>
      </c>
      <c r="E124" s="19" t="s">
        <v>97</v>
      </c>
      <c r="F124" s="33">
        <v>1</v>
      </c>
      <c r="G124" s="19" t="s">
        <v>594</v>
      </c>
      <c r="H124" s="19">
        <v>1</v>
      </c>
      <c r="I124" s="29">
        <v>8760</v>
      </c>
      <c r="J124" s="12">
        <v>4</v>
      </c>
      <c r="K124" s="19"/>
      <c r="L124" s="1" t="s">
        <v>9</v>
      </c>
    </row>
    <row r="125" spans="1:12">
      <c r="A125" s="1">
        <v>111</v>
      </c>
      <c r="B125" s="19" t="s">
        <v>67</v>
      </c>
      <c r="C125" s="19" t="s">
        <v>389</v>
      </c>
      <c r="D125" s="20" t="s">
        <v>451</v>
      </c>
      <c r="E125" s="19" t="s">
        <v>97</v>
      </c>
      <c r="F125" s="33">
        <v>1</v>
      </c>
      <c r="G125" s="19" t="s">
        <v>594</v>
      </c>
      <c r="H125" s="19">
        <v>2</v>
      </c>
      <c r="I125" s="29">
        <v>8760</v>
      </c>
      <c r="J125" s="12">
        <v>4</v>
      </c>
      <c r="K125" s="19"/>
      <c r="L125" s="1" t="s">
        <v>9</v>
      </c>
    </row>
    <row r="126" spans="1:12">
      <c r="A126" s="1">
        <v>112</v>
      </c>
      <c r="B126" s="29" t="s">
        <v>68</v>
      </c>
      <c r="C126" s="29" t="s">
        <v>389</v>
      </c>
      <c r="D126" s="20" t="s">
        <v>405</v>
      </c>
      <c r="E126" s="19" t="s">
        <v>98</v>
      </c>
      <c r="F126" s="33">
        <v>1</v>
      </c>
      <c r="G126" s="19" t="s">
        <v>594</v>
      </c>
      <c r="H126" s="19">
        <v>1</v>
      </c>
      <c r="I126" s="29">
        <v>8760</v>
      </c>
      <c r="J126" s="12">
        <v>4</v>
      </c>
      <c r="K126" s="19"/>
      <c r="L126" s="1" t="s">
        <v>9</v>
      </c>
    </row>
    <row r="127" spans="1:12">
      <c r="A127" s="1">
        <v>113</v>
      </c>
      <c r="B127" s="19" t="s">
        <v>67</v>
      </c>
      <c r="C127" s="19" t="s">
        <v>389</v>
      </c>
      <c r="D127" s="20" t="s">
        <v>405</v>
      </c>
      <c r="E127" s="19" t="s">
        <v>97</v>
      </c>
      <c r="F127" s="33">
        <v>1</v>
      </c>
      <c r="G127" s="19" t="s">
        <v>594</v>
      </c>
      <c r="H127" s="19">
        <v>1</v>
      </c>
      <c r="I127" s="29">
        <v>8760</v>
      </c>
      <c r="J127" s="12">
        <v>4</v>
      </c>
      <c r="K127" s="19"/>
      <c r="L127" s="1" t="s">
        <v>9</v>
      </c>
    </row>
    <row r="128" spans="1:12">
      <c r="A128" s="1">
        <v>114</v>
      </c>
      <c r="B128" s="29" t="s">
        <v>67</v>
      </c>
      <c r="C128" s="19" t="s">
        <v>389</v>
      </c>
      <c r="D128" s="20" t="s">
        <v>412</v>
      </c>
      <c r="E128" s="19" t="s">
        <v>97</v>
      </c>
      <c r="F128" s="33">
        <v>1</v>
      </c>
      <c r="G128" s="19" t="s">
        <v>594</v>
      </c>
      <c r="H128" s="29">
        <v>1</v>
      </c>
      <c r="I128" s="29">
        <v>8760</v>
      </c>
      <c r="J128" s="12">
        <v>4</v>
      </c>
      <c r="K128" s="19"/>
      <c r="L128" s="1" t="s">
        <v>9</v>
      </c>
    </row>
    <row r="129" spans="1:12">
      <c r="A129" s="1">
        <v>115</v>
      </c>
      <c r="B129" s="29" t="s">
        <v>67</v>
      </c>
      <c r="C129" s="19" t="s">
        <v>389</v>
      </c>
      <c r="D129" s="20" t="s">
        <v>418</v>
      </c>
      <c r="E129" s="19" t="s">
        <v>97</v>
      </c>
      <c r="F129" s="33">
        <v>1</v>
      </c>
      <c r="G129" s="19" t="s">
        <v>594</v>
      </c>
      <c r="H129" s="29">
        <v>1</v>
      </c>
      <c r="I129" s="29">
        <v>8760</v>
      </c>
      <c r="J129" s="12">
        <v>4</v>
      </c>
      <c r="K129" s="19"/>
      <c r="L129" s="1" t="s">
        <v>9</v>
      </c>
    </row>
    <row r="130" spans="1:12">
      <c r="A130" s="1">
        <v>116</v>
      </c>
      <c r="B130" s="29" t="s">
        <v>221</v>
      </c>
      <c r="C130" s="29" t="s">
        <v>389</v>
      </c>
      <c r="D130" s="20" t="s">
        <v>393</v>
      </c>
      <c r="E130" s="19" t="s">
        <v>224</v>
      </c>
      <c r="F130" s="33">
        <v>1</v>
      </c>
      <c r="G130" s="19" t="s">
        <v>596</v>
      </c>
      <c r="H130" s="19">
        <v>2</v>
      </c>
      <c r="I130" s="29">
        <v>8760</v>
      </c>
      <c r="J130" s="12">
        <v>6</v>
      </c>
      <c r="K130" s="19"/>
      <c r="L130" s="1" t="s">
        <v>9</v>
      </c>
    </row>
    <row r="131" spans="1:12">
      <c r="A131" s="1">
        <v>117</v>
      </c>
      <c r="B131" s="19" t="s">
        <v>221</v>
      </c>
      <c r="C131" s="19" t="s">
        <v>389</v>
      </c>
      <c r="D131" s="20" t="s">
        <v>428</v>
      </c>
      <c r="E131" s="19" t="s">
        <v>224</v>
      </c>
      <c r="F131" s="33">
        <v>1</v>
      </c>
      <c r="G131" s="19" t="s">
        <v>596</v>
      </c>
      <c r="H131" s="19">
        <v>1</v>
      </c>
      <c r="I131" s="29">
        <v>8760</v>
      </c>
      <c r="J131" s="12">
        <v>6</v>
      </c>
      <c r="K131" s="19"/>
      <c r="L131" s="1" t="s">
        <v>9</v>
      </c>
    </row>
    <row r="132" spans="1:12">
      <c r="A132" s="1">
        <v>118</v>
      </c>
      <c r="B132" s="19" t="s">
        <v>134</v>
      </c>
      <c r="C132" s="19" t="s">
        <v>389</v>
      </c>
      <c r="D132" s="20" t="s">
        <v>452</v>
      </c>
      <c r="E132" s="19" t="s">
        <v>97</v>
      </c>
      <c r="F132" s="33">
        <v>1</v>
      </c>
      <c r="G132" s="19" t="s">
        <v>594</v>
      </c>
      <c r="H132" s="19">
        <v>1</v>
      </c>
      <c r="I132" s="29">
        <v>8760</v>
      </c>
      <c r="J132" s="12">
        <v>4</v>
      </c>
      <c r="K132" s="19"/>
      <c r="L132" s="1" t="s">
        <v>9</v>
      </c>
    </row>
    <row r="133" spans="1:12">
      <c r="A133" s="1">
        <v>119</v>
      </c>
      <c r="B133" s="19" t="s">
        <v>68</v>
      </c>
      <c r="C133" s="19" t="s">
        <v>343</v>
      </c>
      <c r="D133" s="19" t="s">
        <v>11</v>
      </c>
      <c r="E133" s="19" t="s">
        <v>98</v>
      </c>
      <c r="F133" s="33">
        <v>1</v>
      </c>
      <c r="G133" s="19" t="s">
        <v>594</v>
      </c>
      <c r="H133" s="19">
        <v>1</v>
      </c>
      <c r="I133" s="29">
        <v>8760</v>
      </c>
      <c r="J133" s="12">
        <v>4</v>
      </c>
      <c r="K133" s="19"/>
      <c r="L133" s="1" t="s">
        <v>9</v>
      </c>
    </row>
    <row r="134" spans="1:12">
      <c r="A134" s="1">
        <v>120</v>
      </c>
      <c r="B134" s="19" t="s">
        <v>162</v>
      </c>
      <c r="C134" s="19" t="s">
        <v>343</v>
      </c>
      <c r="D134" s="19" t="s">
        <v>11</v>
      </c>
      <c r="E134" s="19" t="s">
        <v>97</v>
      </c>
      <c r="F134" s="33">
        <v>1</v>
      </c>
      <c r="G134" s="19" t="s">
        <v>595</v>
      </c>
      <c r="H134" s="19">
        <v>1</v>
      </c>
      <c r="I134" s="29">
        <v>8760</v>
      </c>
      <c r="J134" s="12">
        <v>7</v>
      </c>
      <c r="K134" s="19"/>
      <c r="L134" s="1" t="s">
        <v>9</v>
      </c>
    </row>
    <row r="135" spans="1:12">
      <c r="A135" s="1">
        <v>121</v>
      </c>
      <c r="B135" s="19" t="s">
        <v>134</v>
      </c>
      <c r="C135" s="19" t="s">
        <v>343</v>
      </c>
      <c r="D135" s="19" t="s">
        <v>11</v>
      </c>
      <c r="E135" s="19" t="s">
        <v>97</v>
      </c>
      <c r="F135" s="33">
        <v>1</v>
      </c>
      <c r="G135" s="19" t="s">
        <v>594</v>
      </c>
      <c r="H135" s="19">
        <v>1</v>
      </c>
      <c r="I135" s="29">
        <v>8760</v>
      </c>
      <c r="J135" s="12">
        <v>4</v>
      </c>
      <c r="K135" s="19"/>
      <c r="L135" s="1" t="s">
        <v>9</v>
      </c>
    </row>
    <row r="136" spans="1:12">
      <c r="A136" s="7"/>
      <c r="B136" s="22"/>
      <c r="C136" s="22"/>
      <c r="D136" s="22"/>
      <c r="E136" s="22"/>
      <c r="F136" s="36"/>
      <c r="G136" s="22"/>
      <c r="H136" s="22">
        <f>SUM(H117:H135)</f>
        <v>21</v>
      </c>
      <c r="I136" s="21"/>
      <c r="J136" s="22"/>
      <c r="K136" s="22"/>
      <c r="L136" s="7"/>
    </row>
    <row r="138" spans="1:12" ht="17.25" customHeight="1">
      <c r="A138" t="s">
        <v>70</v>
      </c>
    </row>
    <row r="139" spans="1:12">
      <c r="A139" s="1">
        <v>122</v>
      </c>
      <c r="B139" s="19"/>
      <c r="C139" s="19" t="s">
        <v>389</v>
      </c>
      <c r="D139" s="19" t="s">
        <v>71</v>
      </c>
      <c r="E139" s="19" t="s">
        <v>72</v>
      </c>
      <c r="F139" s="33">
        <v>1</v>
      </c>
      <c r="G139" s="19" t="s">
        <v>585</v>
      </c>
      <c r="H139" s="19">
        <v>37</v>
      </c>
      <c r="I139" s="29">
        <v>0</v>
      </c>
      <c r="J139" s="12">
        <v>60</v>
      </c>
      <c r="K139" s="19"/>
      <c r="L139" s="1" t="s">
        <v>9</v>
      </c>
    </row>
    <row r="140" spans="1:12">
      <c r="A140" s="1">
        <v>123</v>
      </c>
      <c r="B140" s="19" t="s">
        <v>581</v>
      </c>
      <c r="C140" s="19" t="s">
        <v>389</v>
      </c>
      <c r="D140" s="19" t="s">
        <v>71</v>
      </c>
      <c r="E140" s="19" t="s">
        <v>218</v>
      </c>
      <c r="F140" s="33">
        <v>1</v>
      </c>
      <c r="G140" s="19" t="s">
        <v>585</v>
      </c>
      <c r="H140" s="19">
        <v>20</v>
      </c>
      <c r="I140" s="29">
        <v>0</v>
      </c>
      <c r="J140" s="12">
        <v>40</v>
      </c>
      <c r="K140" s="19"/>
      <c r="L140" s="1" t="s">
        <v>9</v>
      </c>
    </row>
    <row r="141" spans="1:12">
      <c r="A141" s="1">
        <v>124</v>
      </c>
      <c r="B141" s="19" t="s">
        <v>582</v>
      </c>
      <c r="C141" s="19" t="s">
        <v>389</v>
      </c>
      <c r="D141" s="19" t="s">
        <v>71</v>
      </c>
      <c r="E141" s="19" t="s">
        <v>218</v>
      </c>
      <c r="F141" s="33">
        <v>1</v>
      </c>
      <c r="G141" s="19" t="s">
        <v>585</v>
      </c>
      <c r="H141" s="19">
        <v>20</v>
      </c>
      <c r="I141" s="29">
        <v>0</v>
      </c>
      <c r="J141" s="12">
        <v>40</v>
      </c>
      <c r="K141" s="19"/>
      <c r="L141" s="1" t="s">
        <v>9</v>
      </c>
    </row>
    <row r="142" spans="1:12">
      <c r="A142" s="1">
        <v>125</v>
      </c>
      <c r="B142" s="19" t="s">
        <v>583</v>
      </c>
      <c r="C142" s="19" t="s">
        <v>389</v>
      </c>
      <c r="D142" s="19" t="s">
        <v>71</v>
      </c>
      <c r="E142" s="19" t="s">
        <v>218</v>
      </c>
      <c r="F142" s="33">
        <v>1</v>
      </c>
      <c r="G142" s="19" t="s">
        <v>584</v>
      </c>
      <c r="H142" s="19">
        <v>5</v>
      </c>
      <c r="I142" s="29">
        <v>0</v>
      </c>
      <c r="J142" s="12">
        <v>40</v>
      </c>
      <c r="K142" s="19"/>
      <c r="L142" s="1" t="s">
        <v>9</v>
      </c>
    </row>
    <row r="143" spans="1:12">
      <c r="H143" s="18">
        <f>SUM(H139:H142)</f>
        <v>82</v>
      </c>
    </row>
  </sheetData>
  <phoneticPr fontId="2"/>
  <dataValidations count="1">
    <dataValidation allowBlank="1" showInputMessage="1" showErrorMessage="1" sqref="E53:E54 E34:E51 D34:D35 D3:E33 D49:D54 D118:D135 D58:E112" xr:uid="{7F618C50-57AF-4909-972D-F280FEBE4E5D}"/>
  </dataValidation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AF53-8F92-41ED-A862-9565765B5D72}">
  <sheetPr>
    <pageSetUpPr fitToPage="1"/>
  </sheetPr>
  <dimension ref="A1:L116"/>
  <sheetViews>
    <sheetView topLeftCell="A103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style="18" customWidth="1"/>
    <col min="4" max="4" width="23" style="18" bestFit="1" customWidth="1"/>
    <col min="5" max="5" width="21.375" style="18" bestFit="1" customWidth="1"/>
    <col min="6" max="6" width="4.8125" bestFit="1" customWidth="1"/>
    <col min="7" max="7" width="23.9375" customWidth="1"/>
    <col min="8" max="8" width="5.1875" style="18" bestFit="1" customWidth="1"/>
    <col min="9" max="9" width="12.9375" style="31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9" t="s">
        <v>1</v>
      </c>
      <c r="D2" s="19" t="s">
        <v>13</v>
      </c>
      <c r="E2" s="19" t="s">
        <v>2</v>
      </c>
      <c r="F2" s="1" t="s">
        <v>3</v>
      </c>
      <c r="G2" s="1" t="s">
        <v>6</v>
      </c>
      <c r="H2" s="19" t="s">
        <v>4</v>
      </c>
      <c r="I2" s="29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37" t="s">
        <v>282</v>
      </c>
      <c r="C3" s="19" t="s">
        <v>344</v>
      </c>
      <c r="D3" s="20" t="s">
        <v>300</v>
      </c>
      <c r="E3" s="23" t="s">
        <v>21</v>
      </c>
      <c r="F3" s="4">
        <v>1</v>
      </c>
      <c r="G3" s="1" t="s">
        <v>301</v>
      </c>
      <c r="H3" s="24">
        <v>2</v>
      </c>
      <c r="I3" s="32">
        <v>2299</v>
      </c>
      <c r="J3" s="1">
        <v>36</v>
      </c>
      <c r="K3" s="1"/>
      <c r="L3" s="1" t="s">
        <v>9</v>
      </c>
    </row>
    <row r="4" spans="1:12">
      <c r="A4" s="1">
        <v>2</v>
      </c>
      <c r="B4" s="37"/>
      <c r="C4" s="19" t="s">
        <v>344</v>
      </c>
      <c r="D4" s="20" t="s">
        <v>300</v>
      </c>
      <c r="E4" s="23" t="s">
        <v>373</v>
      </c>
      <c r="F4" s="4">
        <v>1</v>
      </c>
      <c r="G4" s="1" t="s">
        <v>73</v>
      </c>
      <c r="H4" s="24">
        <v>2</v>
      </c>
      <c r="I4" s="32">
        <v>2299</v>
      </c>
      <c r="J4" s="1">
        <v>60</v>
      </c>
      <c r="K4" s="1"/>
      <c r="L4" s="1" t="s">
        <v>9</v>
      </c>
    </row>
    <row r="5" spans="1:12">
      <c r="A5" s="1">
        <v>3</v>
      </c>
      <c r="B5" s="37"/>
      <c r="C5" s="19" t="s">
        <v>344</v>
      </c>
      <c r="D5" s="20" t="s">
        <v>300</v>
      </c>
      <c r="E5" s="23" t="s">
        <v>304</v>
      </c>
      <c r="F5" s="4">
        <v>1</v>
      </c>
      <c r="G5" s="1" t="s">
        <v>316</v>
      </c>
      <c r="H5" s="24">
        <v>2</v>
      </c>
      <c r="I5" s="32">
        <v>2299</v>
      </c>
      <c r="J5" s="1"/>
      <c r="K5" s="2" t="s">
        <v>32</v>
      </c>
      <c r="L5" s="1" t="s">
        <v>9</v>
      </c>
    </row>
    <row r="6" spans="1:12">
      <c r="A6" s="1">
        <v>4</v>
      </c>
      <c r="B6" s="37" t="s">
        <v>282</v>
      </c>
      <c r="C6" s="19" t="s">
        <v>344</v>
      </c>
      <c r="D6" s="20" t="s">
        <v>501</v>
      </c>
      <c r="E6" s="23" t="s">
        <v>21</v>
      </c>
      <c r="F6" s="4">
        <v>1</v>
      </c>
      <c r="G6" s="1" t="s">
        <v>301</v>
      </c>
      <c r="H6" s="24">
        <v>1</v>
      </c>
      <c r="I6" s="32">
        <v>2299</v>
      </c>
      <c r="J6" s="1">
        <v>36</v>
      </c>
      <c r="K6" s="1"/>
      <c r="L6" s="1" t="s">
        <v>9</v>
      </c>
    </row>
    <row r="7" spans="1:12">
      <c r="A7" s="1">
        <v>5</v>
      </c>
      <c r="B7" s="37"/>
      <c r="C7" s="19" t="s">
        <v>344</v>
      </c>
      <c r="D7" s="20" t="s">
        <v>501</v>
      </c>
      <c r="E7" s="23" t="s">
        <v>374</v>
      </c>
      <c r="F7" s="4">
        <v>1</v>
      </c>
      <c r="G7" s="1" t="s">
        <v>375</v>
      </c>
      <c r="H7" s="24">
        <v>1</v>
      </c>
      <c r="I7" s="32">
        <v>2299</v>
      </c>
      <c r="J7" s="1">
        <v>23</v>
      </c>
      <c r="K7" s="1"/>
      <c r="L7" s="1" t="s">
        <v>9</v>
      </c>
    </row>
    <row r="8" spans="1:12">
      <c r="A8" s="1">
        <v>6</v>
      </c>
      <c r="B8" s="37"/>
      <c r="C8" s="19" t="s">
        <v>345</v>
      </c>
      <c r="D8" s="20" t="s">
        <v>501</v>
      </c>
      <c r="E8" s="23" t="s">
        <v>164</v>
      </c>
      <c r="F8" s="4">
        <v>1</v>
      </c>
      <c r="G8" s="1" t="s">
        <v>542</v>
      </c>
      <c r="H8" s="24">
        <v>1</v>
      </c>
      <c r="I8" s="32"/>
      <c r="J8" s="1">
        <v>22</v>
      </c>
      <c r="K8" s="1" t="s">
        <v>498</v>
      </c>
      <c r="L8" s="1" t="s">
        <v>9</v>
      </c>
    </row>
    <row r="9" spans="1:12">
      <c r="A9" s="1">
        <v>7</v>
      </c>
      <c r="B9" s="37" t="s">
        <v>285</v>
      </c>
      <c r="C9" s="19" t="s">
        <v>344</v>
      </c>
      <c r="D9" s="20" t="s">
        <v>262</v>
      </c>
      <c r="E9" s="23" t="s">
        <v>21</v>
      </c>
      <c r="F9" s="4">
        <v>1</v>
      </c>
      <c r="G9" s="1" t="s">
        <v>551</v>
      </c>
      <c r="H9" s="24">
        <v>1</v>
      </c>
      <c r="I9" s="32">
        <v>2601.5</v>
      </c>
      <c r="J9" s="1">
        <v>36</v>
      </c>
      <c r="K9" s="1"/>
      <c r="L9" s="1" t="s">
        <v>9</v>
      </c>
    </row>
    <row r="10" spans="1:12">
      <c r="A10" s="1">
        <v>8</v>
      </c>
      <c r="B10" s="37" t="s">
        <v>286</v>
      </c>
      <c r="C10" s="19" t="s">
        <v>344</v>
      </c>
      <c r="D10" s="20" t="s">
        <v>262</v>
      </c>
      <c r="E10" s="23" t="s">
        <v>21</v>
      </c>
      <c r="F10" s="4">
        <v>1</v>
      </c>
      <c r="G10" s="1" t="s">
        <v>551</v>
      </c>
      <c r="H10" s="24">
        <v>1</v>
      </c>
      <c r="I10" s="32">
        <v>2601.5</v>
      </c>
      <c r="J10" s="1">
        <v>36</v>
      </c>
      <c r="K10" s="1"/>
      <c r="L10" s="1" t="s">
        <v>9</v>
      </c>
    </row>
    <row r="11" spans="1:12">
      <c r="A11" s="1">
        <v>9</v>
      </c>
      <c r="B11" s="37" t="s">
        <v>284</v>
      </c>
      <c r="C11" s="19" t="s">
        <v>344</v>
      </c>
      <c r="D11" s="20" t="s">
        <v>174</v>
      </c>
      <c r="E11" s="23" t="s">
        <v>19</v>
      </c>
      <c r="F11" s="4">
        <v>1</v>
      </c>
      <c r="G11" s="2" t="s">
        <v>303</v>
      </c>
      <c r="H11" s="24">
        <v>1</v>
      </c>
      <c r="I11" s="32">
        <v>2299</v>
      </c>
      <c r="J11" s="1">
        <v>26</v>
      </c>
      <c r="K11" s="2"/>
      <c r="L11" s="1" t="s">
        <v>9</v>
      </c>
    </row>
    <row r="12" spans="1:12">
      <c r="A12" s="1">
        <v>10</v>
      </c>
      <c r="B12" s="37" t="s">
        <v>282</v>
      </c>
      <c r="C12" s="19" t="s">
        <v>344</v>
      </c>
      <c r="D12" s="20" t="s">
        <v>502</v>
      </c>
      <c r="E12" s="23" t="s">
        <v>21</v>
      </c>
      <c r="F12" s="5">
        <v>1</v>
      </c>
      <c r="G12" s="1" t="s">
        <v>301</v>
      </c>
      <c r="H12" s="24">
        <v>1</v>
      </c>
      <c r="I12" s="32">
        <v>2299</v>
      </c>
      <c r="J12" s="2">
        <v>36</v>
      </c>
      <c r="K12" s="2"/>
      <c r="L12" s="1" t="s">
        <v>9</v>
      </c>
    </row>
    <row r="13" spans="1:12">
      <c r="A13" s="1">
        <v>11</v>
      </c>
      <c r="B13" s="37"/>
      <c r="C13" s="19" t="s">
        <v>345</v>
      </c>
      <c r="D13" s="20" t="s">
        <v>502</v>
      </c>
      <c r="E13" s="23" t="s">
        <v>164</v>
      </c>
      <c r="F13" s="5">
        <v>1</v>
      </c>
      <c r="G13" s="1" t="s">
        <v>542</v>
      </c>
      <c r="H13" s="24">
        <v>1</v>
      </c>
      <c r="I13" s="32"/>
      <c r="J13" s="2">
        <v>22</v>
      </c>
      <c r="K13" s="2" t="s">
        <v>498</v>
      </c>
      <c r="L13" s="1" t="s">
        <v>9</v>
      </c>
    </row>
    <row r="14" spans="1:12">
      <c r="A14" s="1">
        <v>12</v>
      </c>
      <c r="B14" s="37" t="s">
        <v>283</v>
      </c>
      <c r="C14" s="19" t="s">
        <v>344</v>
      </c>
      <c r="D14" s="20" t="s">
        <v>261</v>
      </c>
      <c r="E14" s="23" t="s">
        <v>21</v>
      </c>
      <c r="F14" s="5">
        <v>1</v>
      </c>
      <c r="G14" s="2" t="s">
        <v>302</v>
      </c>
      <c r="H14" s="24">
        <v>3</v>
      </c>
      <c r="I14" s="32">
        <v>2601.5</v>
      </c>
      <c r="J14" s="2">
        <v>36</v>
      </c>
      <c r="K14" s="2"/>
      <c r="L14" s="1" t="s">
        <v>9</v>
      </c>
    </row>
    <row r="15" spans="1:12">
      <c r="A15" s="1">
        <v>13</v>
      </c>
      <c r="B15" s="37" t="s">
        <v>282</v>
      </c>
      <c r="C15" s="19" t="s">
        <v>344</v>
      </c>
      <c r="D15" s="20" t="s">
        <v>299</v>
      </c>
      <c r="E15" s="23" t="s">
        <v>21</v>
      </c>
      <c r="F15" s="5">
        <v>1</v>
      </c>
      <c r="G15" s="2" t="s">
        <v>301</v>
      </c>
      <c r="H15" s="24">
        <v>1</v>
      </c>
      <c r="I15" s="32">
        <v>2299</v>
      </c>
      <c r="J15" s="2">
        <v>36</v>
      </c>
      <c r="K15" s="2"/>
      <c r="L15" s="1" t="s">
        <v>9</v>
      </c>
    </row>
    <row r="16" spans="1:12">
      <c r="A16" s="1">
        <v>14</v>
      </c>
      <c r="B16" s="37"/>
      <c r="C16" s="19" t="s">
        <v>344</v>
      </c>
      <c r="D16" s="20" t="s">
        <v>176</v>
      </c>
      <c r="E16" s="23" t="s">
        <v>31</v>
      </c>
      <c r="F16" s="5">
        <v>1</v>
      </c>
      <c r="G16" s="2" t="s">
        <v>316</v>
      </c>
      <c r="H16" s="24">
        <v>3</v>
      </c>
      <c r="I16" s="32">
        <v>2299</v>
      </c>
      <c r="J16" s="2"/>
      <c r="K16" s="2" t="s">
        <v>32</v>
      </c>
      <c r="L16" s="1" t="s">
        <v>9</v>
      </c>
    </row>
    <row r="17" spans="1:12">
      <c r="A17" s="1">
        <v>15</v>
      </c>
      <c r="B17" s="37" t="s">
        <v>369</v>
      </c>
      <c r="C17" s="19" t="s">
        <v>344</v>
      </c>
      <c r="D17" s="20" t="s">
        <v>351</v>
      </c>
      <c r="E17" s="23" t="s">
        <v>21</v>
      </c>
      <c r="F17" s="5">
        <v>1</v>
      </c>
      <c r="G17" s="2" t="s">
        <v>89</v>
      </c>
      <c r="H17" s="24">
        <v>14</v>
      </c>
      <c r="I17" s="32">
        <v>2299</v>
      </c>
      <c r="J17" s="2">
        <v>36</v>
      </c>
      <c r="K17" s="2"/>
      <c r="L17" s="1" t="s">
        <v>9</v>
      </c>
    </row>
    <row r="18" spans="1:12">
      <c r="A18" s="1">
        <v>16</v>
      </c>
      <c r="B18" s="37"/>
      <c r="C18" s="19" t="s">
        <v>345</v>
      </c>
      <c r="D18" s="20" t="s">
        <v>538</v>
      </c>
      <c r="E18" s="23" t="s">
        <v>125</v>
      </c>
      <c r="F18" s="5">
        <v>1</v>
      </c>
      <c r="G18" s="2" t="s">
        <v>379</v>
      </c>
      <c r="H18" s="24">
        <v>2</v>
      </c>
      <c r="I18" s="32"/>
      <c r="J18" s="2">
        <v>100</v>
      </c>
      <c r="K18" s="2"/>
      <c r="L18" s="1" t="s">
        <v>9</v>
      </c>
    </row>
    <row r="19" spans="1:12">
      <c r="A19" s="1">
        <v>17</v>
      </c>
      <c r="B19" s="37" t="s">
        <v>370</v>
      </c>
      <c r="C19" s="19" t="s">
        <v>344</v>
      </c>
      <c r="D19" s="20" t="s">
        <v>352</v>
      </c>
      <c r="E19" s="23" t="s">
        <v>21</v>
      </c>
      <c r="F19" s="5">
        <v>1</v>
      </c>
      <c r="G19" s="2" t="s">
        <v>89</v>
      </c>
      <c r="H19" s="24">
        <v>16</v>
      </c>
      <c r="I19" s="32">
        <v>2299</v>
      </c>
      <c r="J19" s="2">
        <v>36</v>
      </c>
      <c r="K19" s="2"/>
      <c r="L19" s="1" t="s">
        <v>9</v>
      </c>
    </row>
    <row r="20" spans="1:12">
      <c r="A20" s="1">
        <v>18</v>
      </c>
      <c r="B20" s="37"/>
      <c r="C20" s="19" t="s">
        <v>345</v>
      </c>
      <c r="D20" s="20" t="s">
        <v>536</v>
      </c>
      <c r="E20" s="23" t="s">
        <v>125</v>
      </c>
      <c r="F20" s="5">
        <v>1</v>
      </c>
      <c r="G20" s="2" t="s">
        <v>379</v>
      </c>
      <c r="H20" s="24">
        <v>2</v>
      </c>
      <c r="I20" s="32"/>
      <c r="J20" s="2">
        <v>100</v>
      </c>
      <c r="K20" s="2"/>
      <c r="L20" s="1" t="s">
        <v>9</v>
      </c>
    </row>
    <row r="21" spans="1:12">
      <c r="A21" s="1">
        <v>19</v>
      </c>
      <c r="B21" s="37"/>
      <c r="C21" s="19" t="s">
        <v>345</v>
      </c>
      <c r="D21" s="20" t="s">
        <v>536</v>
      </c>
      <c r="E21" s="23" t="s">
        <v>537</v>
      </c>
      <c r="F21" s="5">
        <v>1</v>
      </c>
      <c r="G21" s="2" t="s">
        <v>89</v>
      </c>
      <c r="H21" s="24">
        <v>1</v>
      </c>
      <c r="I21" s="32"/>
      <c r="J21" s="2">
        <v>121</v>
      </c>
      <c r="K21" s="2"/>
      <c r="L21" s="1" t="s">
        <v>9</v>
      </c>
    </row>
    <row r="22" spans="1:12">
      <c r="A22" s="1">
        <v>20</v>
      </c>
      <c r="B22" s="37"/>
      <c r="C22" s="19" t="s">
        <v>345</v>
      </c>
      <c r="D22" s="20" t="s">
        <v>539</v>
      </c>
      <c r="E22" s="23" t="s">
        <v>537</v>
      </c>
      <c r="F22" s="5">
        <v>1</v>
      </c>
      <c r="G22" s="2" t="s">
        <v>89</v>
      </c>
      <c r="H22" s="24">
        <v>1</v>
      </c>
      <c r="I22" s="32"/>
      <c r="J22" s="2">
        <v>121</v>
      </c>
      <c r="K22" s="2"/>
      <c r="L22" s="1" t="s">
        <v>9</v>
      </c>
    </row>
    <row r="23" spans="1:12">
      <c r="A23" s="1">
        <v>21</v>
      </c>
      <c r="B23" s="37"/>
      <c r="C23" s="19" t="s">
        <v>345</v>
      </c>
      <c r="D23" s="20" t="s">
        <v>539</v>
      </c>
      <c r="E23" s="23" t="s">
        <v>547</v>
      </c>
      <c r="F23" s="5">
        <v>1</v>
      </c>
      <c r="G23" s="2" t="s">
        <v>89</v>
      </c>
      <c r="H23" s="24">
        <v>1</v>
      </c>
      <c r="I23" s="32"/>
      <c r="J23" s="2">
        <v>44</v>
      </c>
      <c r="K23" s="2"/>
      <c r="L23" s="1" t="s">
        <v>9</v>
      </c>
    </row>
    <row r="24" spans="1:12">
      <c r="A24" s="1">
        <v>22</v>
      </c>
      <c r="B24" s="37"/>
      <c r="C24" s="19" t="s">
        <v>345</v>
      </c>
      <c r="D24" s="20" t="s">
        <v>540</v>
      </c>
      <c r="E24" s="23" t="s">
        <v>125</v>
      </c>
      <c r="F24" s="5">
        <v>1</v>
      </c>
      <c r="G24" s="2" t="s">
        <v>379</v>
      </c>
      <c r="H24" s="24">
        <v>2</v>
      </c>
      <c r="I24" s="32"/>
      <c r="J24" s="2">
        <v>100</v>
      </c>
      <c r="K24" s="2"/>
      <c r="L24" s="1" t="s">
        <v>9</v>
      </c>
    </row>
    <row r="25" spans="1:12">
      <c r="A25" s="25">
        <v>23</v>
      </c>
      <c r="B25" s="40"/>
      <c r="C25" s="46" t="s">
        <v>345</v>
      </c>
      <c r="D25" s="26" t="s">
        <v>540</v>
      </c>
      <c r="E25" s="27" t="s">
        <v>75</v>
      </c>
      <c r="F25" s="41">
        <v>1</v>
      </c>
      <c r="G25" s="25" t="s">
        <v>379</v>
      </c>
      <c r="H25" s="28">
        <v>3</v>
      </c>
      <c r="I25" s="42"/>
      <c r="J25" s="25"/>
      <c r="K25" s="25"/>
      <c r="L25" s="25" t="s">
        <v>386</v>
      </c>
    </row>
    <row r="26" spans="1:12">
      <c r="A26" s="1">
        <v>24</v>
      </c>
      <c r="B26" s="37" t="s">
        <v>289</v>
      </c>
      <c r="C26" s="19" t="s">
        <v>344</v>
      </c>
      <c r="D26" s="20" t="s">
        <v>265</v>
      </c>
      <c r="E26" s="23" t="s">
        <v>21</v>
      </c>
      <c r="F26" s="5">
        <v>1</v>
      </c>
      <c r="G26" s="2" t="s">
        <v>89</v>
      </c>
      <c r="H26" s="24">
        <v>4</v>
      </c>
      <c r="I26" s="32">
        <v>2299</v>
      </c>
      <c r="J26" s="2">
        <v>36</v>
      </c>
      <c r="K26" s="2"/>
      <c r="L26" s="1" t="s">
        <v>9</v>
      </c>
    </row>
    <row r="27" spans="1:12">
      <c r="A27" s="1">
        <v>25</v>
      </c>
      <c r="B27" s="37"/>
      <c r="C27" s="19" t="s">
        <v>345</v>
      </c>
      <c r="D27" s="20" t="s">
        <v>35</v>
      </c>
      <c r="E27" s="23" t="s">
        <v>373</v>
      </c>
      <c r="F27" s="5">
        <v>1</v>
      </c>
      <c r="G27" s="2" t="s">
        <v>73</v>
      </c>
      <c r="H27" s="24">
        <v>5</v>
      </c>
      <c r="I27" s="32"/>
      <c r="J27" s="2">
        <v>60</v>
      </c>
      <c r="K27" s="2"/>
      <c r="L27" s="1" t="s">
        <v>9</v>
      </c>
    </row>
    <row r="28" spans="1:12">
      <c r="A28" s="1">
        <v>26</v>
      </c>
      <c r="B28" s="37"/>
      <c r="C28" s="19" t="s">
        <v>345</v>
      </c>
      <c r="D28" s="20" t="s">
        <v>580</v>
      </c>
      <c r="E28" s="23" t="s">
        <v>547</v>
      </c>
      <c r="F28" s="5">
        <v>1</v>
      </c>
      <c r="G28" s="2" t="s">
        <v>89</v>
      </c>
      <c r="H28" s="24">
        <v>12</v>
      </c>
      <c r="I28" s="32"/>
      <c r="J28" s="2">
        <v>44</v>
      </c>
      <c r="K28" s="2"/>
      <c r="L28" s="1" t="s">
        <v>9</v>
      </c>
    </row>
    <row r="29" spans="1:12">
      <c r="A29" s="1">
        <v>27</v>
      </c>
      <c r="B29" s="37"/>
      <c r="C29" s="19" t="s">
        <v>345</v>
      </c>
      <c r="D29" s="20" t="s">
        <v>549</v>
      </c>
      <c r="E29" s="23" t="s">
        <v>547</v>
      </c>
      <c r="F29" s="5">
        <v>1</v>
      </c>
      <c r="G29" s="2" t="s">
        <v>89</v>
      </c>
      <c r="H29" s="24">
        <v>6</v>
      </c>
      <c r="I29" s="32"/>
      <c r="J29" s="2">
        <v>44</v>
      </c>
      <c r="K29" s="2"/>
      <c r="L29" s="1" t="s">
        <v>9</v>
      </c>
    </row>
    <row r="30" spans="1:12">
      <c r="A30" s="1">
        <v>28</v>
      </c>
      <c r="B30" s="37"/>
      <c r="C30" s="19" t="s">
        <v>345</v>
      </c>
      <c r="D30" s="20" t="s">
        <v>548</v>
      </c>
      <c r="E30" s="23" t="s">
        <v>125</v>
      </c>
      <c r="F30" s="5">
        <v>1</v>
      </c>
      <c r="G30" s="2" t="s">
        <v>340</v>
      </c>
      <c r="H30" s="24">
        <v>1</v>
      </c>
      <c r="I30" s="32"/>
      <c r="J30" s="2">
        <v>100</v>
      </c>
      <c r="K30" s="2"/>
      <c r="L30" s="1" t="s">
        <v>9</v>
      </c>
    </row>
    <row r="31" spans="1:12">
      <c r="A31" s="1">
        <v>29</v>
      </c>
      <c r="B31" s="37" t="s">
        <v>289</v>
      </c>
      <c r="C31" s="19" t="s">
        <v>344</v>
      </c>
      <c r="D31" s="20" t="s">
        <v>266</v>
      </c>
      <c r="E31" s="23" t="s">
        <v>21</v>
      </c>
      <c r="F31" s="5">
        <v>1</v>
      </c>
      <c r="G31" s="2" t="s">
        <v>89</v>
      </c>
      <c r="H31" s="24">
        <v>65</v>
      </c>
      <c r="I31" s="32">
        <v>2601.5</v>
      </c>
      <c r="J31" s="2">
        <v>36</v>
      </c>
      <c r="K31" s="2"/>
      <c r="L31" s="1" t="s">
        <v>9</v>
      </c>
    </row>
    <row r="32" spans="1:12">
      <c r="A32" s="1">
        <v>30</v>
      </c>
      <c r="B32" s="37" t="s">
        <v>295</v>
      </c>
      <c r="C32" s="19" t="s">
        <v>344</v>
      </c>
      <c r="D32" s="20" t="s">
        <v>266</v>
      </c>
      <c r="E32" s="23" t="s">
        <v>21</v>
      </c>
      <c r="F32" s="5">
        <v>2</v>
      </c>
      <c r="G32" s="2" t="s">
        <v>308</v>
      </c>
      <c r="H32" s="24">
        <v>8</v>
      </c>
      <c r="I32" s="32">
        <v>2601.5</v>
      </c>
      <c r="J32" s="2">
        <v>72</v>
      </c>
      <c r="K32" s="2"/>
      <c r="L32" s="1" t="s">
        <v>9</v>
      </c>
    </row>
    <row r="33" spans="1:12">
      <c r="A33" s="1">
        <v>31</v>
      </c>
      <c r="B33" s="37"/>
      <c r="C33" s="19" t="s">
        <v>345</v>
      </c>
      <c r="D33" s="20" t="s">
        <v>315</v>
      </c>
      <c r="E33" s="23" t="s">
        <v>75</v>
      </c>
      <c r="F33" s="5">
        <v>1</v>
      </c>
      <c r="G33" s="2" t="s">
        <v>76</v>
      </c>
      <c r="H33" s="24">
        <v>2</v>
      </c>
      <c r="I33" s="32"/>
      <c r="J33" s="2"/>
      <c r="K33" s="2"/>
      <c r="L33" s="1" t="s">
        <v>9</v>
      </c>
    </row>
    <row r="34" spans="1:12">
      <c r="A34" s="25">
        <v>32</v>
      </c>
      <c r="B34" s="40"/>
      <c r="C34" s="46" t="s">
        <v>345</v>
      </c>
      <c r="D34" s="26" t="s">
        <v>11</v>
      </c>
      <c r="E34" s="27" t="s">
        <v>75</v>
      </c>
      <c r="F34" s="41">
        <v>1</v>
      </c>
      <c r="G34" s="25" t="s">
        <v>74</v>
      </c>
      <c r="H34" s="28">
        <v>4</v>
      </c>
      <c r="I34" s="42"/>
      <c r="J34" s="25"/>
      <c r="K34" s="25"/>
      <c r="L34" s="25" t="s">
        <v>386</v>
      </c>
    </row>
    <row r="35" spans="1:12">
      <c r="A35" s="1">
        <v>33</v>
      </c>
      <c r="B35" s="37" t="s">
        <v>283</v>
      </c>
      <c r="C35" s="19" t="s">
        <v>344</v>
      </c>
      <c r="D35" s="20" t="s">
        <v>57</v>
      </c>
      <c r="E35" s="23" t="s">
        <v>21</v>
      </c>
      <c r="F35" s="5">
        <v>1</v>
      </c>
      <c r="G35" s="2" t="s">
        <v>302</v>
      </c>
      <c r="H35" s="24">
        <v>2</v>
      </c>
      <c r="I35" s="32">
        <v>2299</v>
      </c>
      <c r="J35" s="2">
        <v>36</v>
      </c>
      <c r="K35" s="2"/>
      <c r="L35" s="1" t="s">
        <v>9</v>
      </c>
    </row>
    <row r="36" spans="1:12">
      <c r="A36" s="1">
        <v>34</v>
      </c>
      <c r="B36" s="37"/>
      <c r="C36" s="19" t="s">
        <v>345</v>
      </c>
      <c r="D36" s="20" t="s">
        <v>57</v>
      </c>
      <c r="E36" s="23" t="s">
        <v>373</v>
      </c>
      <c r="F36" s="5">
        <v>1</v>
      </c>
      <c r="G36" s="2" t="s">
        <v>73</v>
      </c>
      <c r="H36" s="24">
        <v>1</v>
      </c>
      <c r="I36" s="32"/>
      <c r="J36" s="2">
        <v>60</v>
      </c>
      <c r="K36" s="2"/>
      <c r="L36" s="1" t="s">
        <v>9</v>
      </c>
    </row>
    <row r="37" spans="1:12" s="10" customFormat="1">
      <c r="A37" s="1">
        <v>35</v>
      </c>
      <c r="B37" s="48"/>
      <c r="C37" s="29" t="s">
        <v>344</v>
      </c>
      <c r="D37" s="49" t="s">
        <v>541</v>
      </c>
      <c r="E37" s="50" t="s">
        <v>125</v>
      </c>
      <c r="F37" s="5">
        <v>1</v>
      </c>
      <c r="G37" s="2" t="s">
        <v>340</v>
      </c>
      <c r="H37" s="24">
        <v>4</v>
      </c>
      <c r="I37" s="32">
        <v>2299</v>
      </c>
      <c r="J37" s="2">
        <v>100</v>
      </c>
      <c r="K37" s="2"/>
      <c r="L37" s="2" t="s">
        <v>9</v>
      </c>
    </row>
    <row r="38" spans="1:12">
      <c r="A38" s="1">
        <v>36</v>
      </c>
      <c r="B38" s="37" t="s">
        <v>292</v>
      </c>
      <c r="C38" s="19" t="s">
        <v>344</v>
      </c>
      <c r="D38" s="20" t="s">
        <v>268</v>
      </c>
      <c r="E38" s="23" t="s">
        <v>19</v>
      </c>
      <c r="F38" s="5">
        <v>1</v>
      </c>
      <c r="G38" s="2" t="s">
        <v>307</v>
      </c>
      <c r="H38" s="24">
        <v>1</v>
      </c>
      <c r="I38" s="32">
        <v>2601.5</v>
      </c>
      <c r="J38" s="2">
        <v>26</v>
      </c>
      <c r="K38" s="2"/>
      <c r="L38" s="1" t="s">
        <v>9</v>
      </c>
    </row>
    <row r="39" spans="1:12">
      <c r="A39" s="1">
        <v>37</v>
      </c>
      <c r="B39" s="37" t="s">
        <v>291</v>
      </c>
      <c r="C39" s="19" t="s">
        <v>344</v>
      </c>
      <c r="D39" s="20" t="s">
        <v>38</v>
      </c>
      <c r="E39" s="23" t="s">
        <v>21</v>
      </c>
      <c r="F39" s="5">
        <v>1</v>
      </c>
      <c r="G39" s="2" t="s">
        <v>253</v>
      </c>
      <c r="H39" s="24">
        <v>1</v>
      </c>
      <c r="I39" s="32">
        <v>2299</v>
      </c>
      <c r="J39" s="2">
        <v>36</v>
      </c>
      <c r="K39" s="2"/>
      <c r="L39" s="1" t="s">
        <v>9</v>
      </c>
    </row>
    <row r="40" spans="1:12">
      <c r="A40" s="1">
        <v>38</v>
      </c>
      <c r="B40" s="37" t="s">
        <v>285</v>
      </c>
      <c r="C40" s="19" t="s">
        <v>344</v>
      </c>
      <c r="D40" s="20" t="s">
        <v>267</v>
      </c>
      <c r="E40" s="23" t="s">
        <v>21</v>
      </c>
      <c r="F40" s="5">
        <v>1</v>
      </c>
      <c r="G40" s="2" t="s">
        <v>551</v>
      </c>
      <c r="H40" s="24">
        <v>1</v>
      </c>
      <c r="I40" s="32">
        <v>2601.5</v>
      </c>
      <c r="J40" s="2">
        <v>36</v>
      </c>
      <c r="K40" s="2"/>
      <c r="L40" s="1" t="s">
        <v>9</v>
      </c>
    </row>
    <row r="41" spans="1:12">
      <c r="A41" s="1">
        <v>39</v>
      </c>
      <c r="B41" s="37" t="s">
        <v>286</v>
      </c>
      <c r="C41" s="19" t="s">
        <v>344</v>
      </c>
      <c r="D41" s="20" t="s">
        <v>267</v>
      </c>
      <c r="E41" s="23" t="s">
        <v>21</v>
      </c>
      <c r="F41" s="5">
        <v>1</v>
      </c>
      <c r="G41" s="2" t="s">
        <v>551</v>
      </c>
      <c r="H41" s="24">
        <v>1</v>
      </c>
      <c r="I41" s="32">
        <v>2601.5</v>
      </c>
      <c r="J41" s="2">
        <v>36</v>
      </c>
      <c r="K41" s="2"/>
      <c r="L41" s="1" t="s">
        <v>9</v>
      </c>
    </row>
    <row r="42" spans="1:12">
      <c r="A42" s="1">
        <v>40</v>
      </c>
      <c r="B42" s="37" t="s">
        <v>294</v>
      </c>
      <c r="C42" s="19" t="s">
        <v>344</v>
      </c>
      <c r="D42" s="20" t="s">
        <v>458</v>
      </c>
      <c r="E42" s="23" t="s">
        <v>21</v>
      </c>
      <c r="F42" s="5">
        <v>1</v>
      </c>
      <c r="G42" s="2" t="s">
        <v>251</v>
      </c>
      <c r="H42" s="24">
        <v>2</v>
      </c>
      <c r="I42" s="32">
        <v>2299</v>
      </c>
      <c r="J42" s="2">
        <v>36</v>
      </c>
      <c r="K42" s="2"/>
      <c r="L42" s="1" t="s">
        <v>9</v>
      </c>
    </row>
    <row r="43" spans="1:12">
      <c r="A43" s="1">
        <v>41</v>
      </c>
      <c r="B43" s="37" t="s">
        <v>287</v>
      </c>
      <c r="C43" s="19" t="s">
        <v>344</v>
      </c>
      <c r="D43" s="20" t="s">
        <v>353</v>
      </c>
      <c r="E43" s="23" t="s">
        <v>21</v>
      </c>
      <c r="F43" s="5">
        <v>2</v>
      </c>
      <c r="G43" s="2" t="s">
        <v>305</v>
      </c>
      <c r="H43" s="24">
        <v>3</v>
      </c>
      <c r="I43" s="32">
        <v>2299</v>
      </c>
      <c r="J43" s="2">
        <v>72</v>
      </c>
      <c r="K43" s="2"/>
      <c r="L43" s="1" t="s">
        <v>9</v>
      </c>
    </row>
    <row r="44" spans="1:12">
      <c r="A44" s="1">
        <v>42</v>
      </c>
      <c r="B44" s="37" t="s">
        <v>295</v>
      </c>
      <c r="C44" s="19" t="s">
        <v>344</v>
      </c>
      <c r="D44" s="20" t="s">
        <v>354</v>
      </c>
      <c r="E44" s="23" t="s">
        <v>21</v>
      </c>
      <c r="F44" s="5">
        <v>2</v>
      </c>
      <c r="G44" s="2" t="s">
        <v>308</v>
      </c>
      <c r="H44" s="24">
        <v>2</v>
      </c>
      <c r="I44" s="32">
        <v>2299</v>
      </c>
      <c r="J44" s="2">
        <v>72</v>
      </c>
      <c r="K44" s="2"/>
      <c r="L44" s="1" t="s">
        <v>9</v>
      </c>
    </row>
    <row r="45" spans="1:12">
      <c r="A45" s="1">
        <v>43</v>
      </c>
      <c r="B45" s="37" t="s">
        <v>295</v>
      </c>
      <c r="C45" s="19" t="s">
        <v>344</v>
      </c>
      <c r="D45" s="20" t="s">
        <v>354</v>
      </c>
      <c r="E45" s="23" t="s">
        <v>21</v>
      </c>
      <c r="F45" s="5">
        <v>2</v>
      </c>
      <c r="G45" s="2" t="s">
        <v>308</v>
      </c>
      <c r="H45" s="24">
        <v>2</v>
      </c>
      <c r="I45" s="32">
        <v>2299</v>
      </c>
      <c r="J45" s="2">
        <v>72</v>
      </c>
      <c r="K45" s="2"/>
      <c r="L45" s="1" t="s">
        <v>9</v>
      </c>
    </row>
    <row r="46" spans="1:12" s="10" customFormat="1">
      <c r="A46" s="2">
        <v>44</v>
      </c>
      <c r="B46" s="48"/>
      <c r="C46" s="29" t="s">
        <v>344</v>
      </c>
      <c r="D46" s="49" t="s">
        <v>354</v>
      </c>
      <c r="E46" s="50" t="s">
        <v>384</v>
      </c>
      <c r="F46" s="5">
        <v>2</v>
      </c>
      <c r="G46" s="2" t="s">
        <v>376</v>
      </c>
      <c r="H46" s="59">
        <v>6</v>
      </c>
      <c r="I46" s="32">
        <v>2299</v>
      </c>
      <c r="J46" s="2">
        <v>72</v>
      </c>
      <c r="K46" s="2"/>
      <c r="L46" s="2" t="s">
        <v>9</v>
      </c>
    </row>
    <row r="47" spans="1:12">
      <c r="A47" s="1">
        <v>45</v>
      </c>
      <c r="B47" s="37" t="s">
        <v>287</v>
      </c>
      <c r="C47" s="19" t="s">
        <v>344</v>
      </c>
      <c r="D47" s="20" t="s">
        <v>355</v>
      </c>
      <c r="E47" s="23" t="s">
        <v>384</v>
      </c>
      <c r="F47" s="5">
        <v>2</v>
      </c>
      <c r="G47" s="2" t="s">
        <v>305</v>
      </c>
      <c r="H47" s="24">
        <v>104</v>
      </c>
      <c r="I47" s="32">
        <v>2299</v>
      </c>
      <c r="J47" s="2">
        <v>72</v>
      </c>
      <c r="K47" s="2"/>
      <c r="L47" s="1" t="s">
        <v>9</v>
      </c>
    </row>
    <row r="48" spans="1:12">
      <c r="A48" s="1">
        <v>46</v>
      </c>
      <c r="B48" s="37" t="s">
        <v>290</v>
      </c>
      <c r="C48" s="19" t="s">
        <v>344</v>
      </c>
      <c r="D48" s="20" t="s">
        <v>355</v>
      </c>
      <c r="E48" s="23" t="s">
        <v>21</v>
      </c>
      <c r="F48" s="5">
        <v>1</v>
      </c>
      <c r="G48" s="2" t="s">
        <v>89</v>
      </c>
      <c r="H48" s="24">
        <v>46</v>
      </c>
      <c r="I48" s="32">
        <v>2299</v>
      </c>
      <c r="J48" s="2">
        <v>36</v>
      </c>
      <c r="K48" s="2"/>
      <c r="L48" s="1" t="s">
        <v>9</v>
      </c>
    </row>
    <row r="49" spans="1:12">
      <c r="A49" s="1">
        <v>47</v>
      </c>
      <c r="B49" s="37" t="s">
        <v>282</v>
      </c>
      <c r="C49" s="19" t="s">
        <v>344</v>
      </c>
      <c r="D49" s="20" t="s">
        <v>311</v>
      </c>
      <c r="E49" s="23" t="s">
        <v>21</v>
      </c>
      <c r="F49" s="5">
        <v>1</v>
      </c>
      <c r="G49" s="2" t="s">
        <v>301</v>
      </c>
      <c r="H49" s="24">
        <v>1</v>
      </c>
      <c r="I49" s="32">
        <v>2299</v>
      </c>
      <c r="J49" s="2">
        <v>36</v>
      </c>
      <c r="K49" s="2"/>
      <c r="L49" s="1" t="s">
        <v>9</v>
      </c>
    </row>
    <row r="50" spans="1:12">
      <c r="A50" s="1">
        <v>48</v>
      </c>
      <c r="B50" s="37"/>
      <c r="C50" s="19" t="s">
        <v>344</v>
      </c>
      <c r="D50" s="20" t="s">
        <v>311</v>
      </c>
      <c r="E50" s="23" t="s">
        <v>31</v>
      </c>
      <c r="F50" s="5">
        <v>1</v>
      </c>
      <c r="G50" s="2" t="s">
        <v>316</v>
      </c>
      <c r="H50" s="24">
        <v>2</v>
      </c>
      <c r="I50" s="32"/>
      <c r="J50" s="2"/>
      <c r="K50" s="2" t="s">
        <v>32</v>
      </c>
      <c r="L50" s="1" t="s">
        <v>9</v>
      </c>
    </row>
    <row r="51" spans="1:12">
      <c r="A51" s="1">
        <v>49</v>
      </c>
      <c r="B51" s="37" t="s">
        <v>282</v>
      </c>
      <c r="C51" s="19" t="s">
        <v>344</v>
      </c>
      <c r="D51" s="20" t="s">
        <v>310</v>
      </c>
      <c r="E51" s="50" t="s">
        <v>21</v>
      </c>
      <c r="F51" s="5">
        <v>1</v>
      </c>
      <c r="G51" s="2" t="s">
        <v>301</v>
      </c>
      <c r="H51" s="24">
        <v>1</v>
      </c>
      <c r="I51" s="32">
        <v>2299</v>
      </c>
      <c r="J51" s="2">
        <v>36</v>
      </c>
      <c r="K51" s="2"/>
      <c r="L51" s="1" t="s">
        <v>9</v>
      </c>
    </row>
    <row r="52" spans="1:12">
      <c r="A52" s="1">
        <v>50</v>
      </c>
      <c r="B52" s="37"/>
      <c r="C52" s="19" t="s">
        <v>344</v>
      </c>
      <c r="D52" s="20" t="s">
        <v>310</v>
      </c>
      <c r="E52" s="23" t="s">
        <v>31</v>
      </c>
      <c r="F52" s="5">
        <v>1</v>
      </c>
      <c r="G52" s="2" t="s">
        <v>316</v>
      </c>
      <c r="H52" s="24">
        <v>3</v>
      </c>
      <c r="I52" s="32"/>
      <c r="J52" s="2"/>
      <c r="K52" s="2" t="s">
        <v>32</v>
      </c>
      <c r="L52" s="1" t="s">
        <v>9</v>
      </c>
    </row>
    <row r="53" spans="1:12" s="10" customFormat="1">
      <c r="A53" s="1">
        <v>51</v>
      </c>
      <c r="B53" s="37" t="s">
        <v>283</v>
      </c>
      <c r="C53" s="29" t="s">
        <v>344</v>
      </c>
      <c r="D53" s="20" t="s">
        <v>273</v>
      </c>
      <c r="E53" s="23" t="s">
        <v>21</v>
      </c>
      <c r="F53" s="5">
        <v>1</v>
      </c>
      <c r="G53" s="2" t="s">
        <v>302</v>
      </c>
      <c r="H53" s="24">
        <v>3</v>
      </c>
      <c r="I53" s="32">
        <v>2601.5</v>
      </c>
      <c r="J53" s="2">
        <v>36</v>
      </c>
      <c r="K53" s="2"/>
      <c r="L53" s="1" t="s">
        <v>9</v>
      </c>
    </row>
    <row r="54" spans="1:12">
      <c r="A54" s="1">
        <v>52</v>
      </c>
      <c r="B54" s="37" t="s">
        <v>285</v>
      </c>
      <c r="C54" s="19" t="s">
        <v>344</v>
      </c>
      <c r="D54" s="20" t="s">
        <v>274</v>
      </c>
      <c r="E54" s="23" t="s">
        <v>21</v>
      </c>
      <c r="F54" s="5">
        <v>1</v>
      </c>
      <c r="G54" s="2" t="s">
        <v>551</v>
      </c>
      <c r="H54" s="24">
        <v>1</v>
      </c>
      <c r="I54" s="32">
        <v>2601.5</v>
      </c>
      <c r="J54" s="2">
        <v>36</v>
      </c>
      <c r="K54" s="2"/>
      <c r="L54" s="1" t="s">
        <v>9</v>
      </c>
    </row>
    <row r="55" spans="1:12">
      <c r="A55" s="1">
        <v>53</v>
      </c>
      <c r="B55" s="37" t="s">
        <v>286</v>
      </c>
      <c r="C55" s="19" t="s">
        <v>344</v>
      </c>
      <c r="D55" s="20" t="s">
        <v>274</v>
      </c>
      <c r="E55" s="23" t="s">
        <v>21</v>
      </c>
      <c r="F55" s="5">
        <v>1</v>
      </c>
      <c r="G55" s="2" t="s">
        <v>551</v>
      </c>
      <c r="H55" s="24">
        <v>1</v>
      </c>
      <c r="I55" s="32">
        <v>2601.5</v>
      </c>
      <c r="J55" s="2">
        <v>36</v>
      </c>
      <c r="K55" s="2"/>
      <c r="L55" s="1" t="s">
        <v>9</v>
      </c>
    </row>
    <row r="56" spans="1:12">
      <c r="A56" s="1">
        <v>54</v>
      </c>
      <c r="B56" s="37" t="s">
        <v>282</v>
      </c>
      <c r="C56" s="19" t="s">
        <v>344</v>
      </c>
      <c r="D56" s="20" t="s">
        <v>312</v>
      </c>
      <c r="E56" s="23" t="s">
        <v>21</v>
      </c>
      <c r="F56" s="5">
        <v>1</v>
      </c>
      <c r="G56" s="2" t="s">
        <v>301</v>
      </c>
      <c r="H56" s="24">
        <v>1</v>
      </c>
      <c r="I56" s="32">
        <v>2601.5</v>
      </c>
      <c r="J56" s="2">
        <v>36</v>
      </c>
      <c r="K56" s="2"/>
      <c r="L56" s="1" t="s">
        <v>9</v>
      </c>
    </row>
    <row r="57" spans="1:12">
      <c r="A57" s="1">
        <v>55</v>
      </c>
      <c r="B57" s="37" t="s">
        <v>282</v>
      </c>
      <c r="C57" s="19" t="s">
        <v>344</v>
      </c>
      <c r="D57" s="20" t="s">
        <v>313</v>
      </c>
      <c r="E57" s="23" t="s">
        <v>21</v>
      </c>
      <c r="F57" s="5">
        <v>1</v>
      </c>
      <c r="G57" s="2" t="s">
        <v>301</v>
      </c>
      <c r="H57" s="24">
        <v>1</v>
      </c>
      <c r="I57" s="32">
        <v>2299</v>
      </c>
      <c r="J57" s="2">
        <v>36</v>
      </c>
      <c r="K57" s="2"/>
      <c r="L57" s="1" t="s">
        <v>9</v>
      </c>
    </row>
    <row r="58" spans="1:12">
      <c r="A58" s="1">
        <v>56</v>
      </c>
      <c r="B58" s="37" t="s">
        <v>284</v>
      </c>
      <c r="C58" s="19" t="s">
        <v>344</v>
      </c>
      <c r="D58" s="20" t="s">
        <v>61</v>
      </c>
      <c r="E58" s="23" t="s">
        <v>19</v>
      </c>
      <c r="F58" s="4">
        <v>1</v>
      </c>
      <c r="G58" s="1" t="s">
        <v>303</v>
      </c>
      <c r="H58" s="24">
        <v>1</v>
      </c>
      <c r="I58" s="32">
        <v>2299</v>
      </c>
      <c r="J58" s="1">
        <v>26</v>
      </c>
      <c r="K58" s="1"/>
      <c r="L58" s="1" t="s">
        <v>9</v>
      </c>
    </row>
    <row r="59" spans="1:12">
      <c r="A59" s="1">
        <v>57</v>
      </c>
      <c r="B59" s="37"/>
      <c r="C59" s="19" t="s">
        <v>345</v>
      </c>
      <c r="D59" s="20" t="s">
        <v>546</v>
      </c>
      <c r="E59" s="23" t="s">
        <v>373</v>
      </c>
      <c r="F59" s="4">
        <v>1</v>
      </c>
      <c r="G59" s="1" t="s">
        <v>73</v>
      </c>
      <c r="H59" s="24">
        <v>5</v>
      </c>
      <c r="I59" s="32"/>
      <c r="J59" s="1">
        <v>60</v>
      </c>
      <c r="K59" s="1"/>
      <c r="L59" s="1" t="s">
        <v>9</v>
      </c>
    </row>
    <row r="60" spans="1:12">
      <c r="A60" s="1">
        <v>58</v>
      </c>
      <c r="B60" s="37" t="s">
        <v>371</v>
      </c>
      <c r="C60" s="19" t="s">
        <v>344</v>
      </c>
      <c r="D60" s="20" t="s">
        <v>357</v>
      </c>
      <c r="E60" s="23" t="s">
        <v>21</v>
      </c>
      <c r="F60" s="4">
        <v>2</v>
      </c>
      <c r="G60" s="2" t="s">
        <v>301</v>
      </c>
      <c r="H60" s="24">
        <v>6</v>
      </c>
      <c r="I60" s="32">
        <v>2299</v>
      </c>
      <c r="J60" s="1">
        <v>72</v>
      </c>
      <c r="K60" s="2"/>
      <c r="L60" s="1" t="s">
        <v>9</v>
      </c>
    </row>
    <row r="61" spans="1:12">
      <c r="A61" s="1">
        <v>59</v>
      </c>
      <c r="B61" s="37" t="s">
        <v>287</v>
      </c>
      <c r="C61" s="19" t="s">
        <v>344</v>
      </c>
      <c r="D61" s="20" t="s">
        <v>355</v>
      </c>
      <c r="E61" s="23" t="s">
        <v>21</v>
      </c>
      <c r="F61" s="4">
        <v>2</v>
      </c>
      <c r="G61" s="1" t="s">
        <v>305</v>
      </c>
      <c r="H61" s="24">
        <v>107</v>
      </c>
      <c r="I61" s="32">
        <v>2299</v>
      </c>
      <c r="J61" s="1">
        <v>72</v>
      </c>
      <c r="K61" s="1"/>
      <c r="L61" s="1" t="s">
        <v>9</v>
      </c>
    </row>
    <row r="62" spans="1:12">
      <c r="A62" s="1">
        <v>60</v>
      </c>
      <c r="B62" s="37" t="s">
        <v>288</v>
      </c>
      <c r="C62" s="19" t="s">
        <v>344</v>
      </c>
      <c r="D62" s="20" t="s">
        <v>355</v>
      </c>
      <c r="E62" s="23" t="s">
        <v>19</v>
      </c>
      <c r="F62" s="5">
        <v>2</v>
      </c>
      <c r="G62" s="2" t="s">
        <v>305</v>
      </c>
      <c r="H62" s="24">
        <v>5</v>
      </c>
      <c r="I62" s="32">
        <v>2299</v>
      </c>
      <c r="J62" s="2">
        <v>26</v>
      </c>
      <c r="K62" s="2"/>
      <c r="L62" s="1" t="s">
        <v>9</v>
      </c>
    </row>
    <row r="63" spans="1:12">
      <c r="A63" s="1">
        <v>61</v>
      </c>
      <c r="B63" s="37" t="s">
        <v>290</v>
      </c>
      <c r="C63" s="19" t="s">
        <v>344</v>
      </c>
      <c r="D63" s="20" t="s">
        <v>355</v>
      </c>
      <c r="E63" s="23" t="s">
        <v>21</v>
      </c>
      <c r="F63" s="5">
        <v>1</v>
      </c>
      <c r="G63" s="1" t="s">
        <v>89</v>
      </c>
      <c r="H63" s="24">
        <v>48</v>
      </c>
      <c r="I63" s="32">
        <v>2299</v>
      </c>
      <c r="J63" s="1">
        <v>36</v>
      </c>
      <c r="K63" s="1"/>
      <c r="L63" s="1" t="s">
        <v>9</v>
      </c>
    </row>
    <row r="64" spans="1:12">
      <c r="A64" s="1">
        <v>62</v>
      </c>
      <c r="B64" s="37" t="s">
        <v>282</v>
      </c>
      <c r="C64" s="19" t="s">
        <v>344</v>
      </c>
      <c r="D64" s="20" t="s">
        <v>358</v>
      </c>
      <c r="E64" s="23" t="s">
        <v>21</v>
      </c>
      <c r="F64" s="4">
        <v>1</v>
      </c>
      <c r="G64" s="1" t="s">
        <v>301</v>
      </c>
      <c r="H64" s="24">
        <v>1</v>
      </c>
      <c r="I64" s="32">
        <v>2601.5</v>
      </c>
      <c r="J64" s="1">
        <v>36</v>
      </c>
      <c r="K64" s="1"/>
      <c r="L64" s="1" t="s">
        <v>9</v>
      </c>
    </row>
    <row r="65" spans="1:12">
      <c r="A65" s="1">
        <v>63</v>
      </c>
      <c r="B65" s="37" t="s">
        <v>282</v>
      </c>
      <c r="C65" s="19" t="s">
        <v>344</v>
      </c>
      <c r="D65" s="20" t="s">
        <v>499</v>
      </c>
      <c r="E65" s="23" t="s">
        <v>21</v>
      </c>
      <c r="F65" s="4">
        <v>1</v>
      </c>
      <c r="G65" s="1" t="s">
        <v>301</v>
      </c>
      <c r="H65" s="24">
        <v>1</v>
      </c>
      <c r="I65" s="32">
        <v>2299</v>
      </c>
      <c r="J65" s="1">
        <v>36</v>
      </c>
      <c r="K65" s="1"/>
      <c r="L65" s="1" t="s">
        <v>9</v>
      </c>
    </row>
    <row r="66" spans="1:12">
      <c r="A66" s="1">
        <v>64</v>
      </c>
      <c r="B66" s="37" t="s">
        <v>284</v>
      </c>
      <c r="C66" s="19" t="s">
        <v>344</v>
      </c>
      <c r="D66" s="20" t="s">
        <v>64</v>
      </c>
      <c r="E66" s="23" t="s">
        <v>19</v>
      </c>
      <c r="F66" s="5">
        <v>1</v>
      </c>
      <c r="G66" s="2" t="s">
        <v>303</v>
      </c>
      <c r="H66" s="24">
        <v>1</v>
      </c>
      <c r="I66" s="32">
        <v>2299</v>
      </c>
      <c r="J66" s="1">
        <v>26</v>
      </c>
      <c r="K66" s="1"/>
      <c r="L66" s="1" t="s">
        <v>9</v>
      </c>
    </row>
    <row r="67" spans="1:12">
      <c r="A67" s="1">
        <v>65</v>
      </c>
      <c r="B67" s="37" t="s">
        <v>292</v>
      </c>
      <c r="C67" s="19" t="s">
        <v>344</v>
      </c>
      <c r="D67" s="20" t="s">
        <v>278</v>
      </c>
      <c r="E67" s="23" t="s">
        <v>19</v>
      </c>
      <c r="F67" s="5">
        <v>1</v>
      </c>
      <c r="G67" s="2" t="s">
        <v>307</v>
      </c>
      <c r="H67" s="24">
        <v>2</v>
      </c>
      <c r="I67" s="32">
        <v>2601.5</v>
      </c>
      <c r="J67" s="1">
        <v>26</v>
      </c>
      <c r="K67" s="1"/>
      <c r="L67" s="1" t="s">
        <v>9</v>
      </c>
    </row>
    <row r="68" spans="1:12">
      <c r="A68" s="1">
        <v>66</v>
      </c>
      <c r="B68" s="37" t="s">
        <v>285</v>
      </c>
      <c r="C68" s="19" t="s">
        <v>344</v>
      </c>
      <c r="D68" s="20" t="s">
        <v>279</v>
      </c>
      <c r="E68" s="23" t="s">
        <v>21</v>
      </c>
      <c r="F68" s="4">
        <v>1</v>
      </c>
      <c r="G68" s="1" t="s">
        <v>551</v>
      </c>
      <c r="H68" s="24">
        <v>1</v>
      </c>
      <c r="I68" s="32">
        <v>2601.5</v>
      </c>
      <c r="J68" s="1">
        <v>36</v>
      </c>
      <c r="K68" s="2"/>
      <c r="L68" s="1" t="s">
        <v>9</v>
      </c>
    </row>
    <row r="69" spans="1:12">
      <c r="A69" s="1">
        <v>67</v>
      </c>
      <c r="B69" s="37" t="s">
        <v>286</v>
      </c>
      <c r="C69" s="19" t="s">
        <v>344</v>
      </c>
      <c r="D69" s="20" t="s">
        <v>279</v>
      </c>
      <c r="E69" s="23" t="s">
        <v>21</v>
      </c>
      <c r="F69" s="4">
        <v>1</v>
      </c>
      <c r="G69" s="1" t="s">
        <v>551</v>
      </c>
      <c r="H69" s="24">
        <v>1</v>
      </c>
      <c r="I69" s="32">
        <v>2601.5</v>
      </c>
      <c r="J69" s="1">
        <v>36</v>
      </c>
      <c r="K69" s="1"/>
      <c r="L69" s="1" t="s">
        <v>9</v>
      </c>
    </row>
    <row r="70" spans="1:12">
      <c r="A70" s="1">
        <v>68</v>
      </c>
      <c r="B70" s="37" t="s">
        <v>283</v>
      </c>
      <c r="C70" s="19" t="s">
        <v>344</v>
      </c>
      <c r="D70" s="20" t="s">
        <v>65</v>
      </c>
      <c r="E70" s="23" t="s">
        <v>21</v>
      </c>
      <c r="F70" s="4">
        <v>1</v>
      </c>
      <c r="G70" s="1" t="s">
        <v>302</v>
      </c>
      <c r="H70" s="24">
        <v>2</v>
      </c>
      <c r="I70" s="32">
        <v>2299</v>
      </c>
      <c r="J70" s="1">
        <v>36</v>
      </c>
      <c r="K70" s="2"/>
      <c r="L70" s="1" t="s">
        <v>9</v>
      </c>
    </row>
    <row r="71" spans="1:12">
      <c r="A71" s="1">
        <v>69</v>
      </c>
      <c r="B71" s="37"/>
      <c r="C71" s="19" t="s">
        <v>344</v>
      </c>
      <c r="D71" s="20" t="s">
        <v>65</v>
      </c>
      <c r="E71" s="23" t="s">
        <v>373</v>
      </c>
      <c r="F71" s="4">
        <v>1</v>
      </c>
      <c r="G71" s="1" t="s">
        <v>73</v>
      </c>
      <c r="H71" s="24">
        <v>1</v>
      </c>
      <c r="I71" s="32">
        <v>2299</v>
      </c>
      <c r="J71" s="1">
        <v>60</v>
      </c>
      <c r="K71" s="2"/>
      <c r="L71" s="1" t="s">
        <v>9</v>
      </c>
    </row>
    <row r="72" spans="1:12">
      <c r="A72" s="25">
        <v>70</v>
      </c>
      <c r="B72" s="40"/>
      <c r="C72" s="46" t="s">
        <v>344</v>
      </c>
      <c r="D72" s="26" t="s">
        <v>471</v>
      </c>
      <c r="E72" s="27" t="s">
        <v>500</v>
      </c>
      <c r="F72" s="41">
        <v>1</v>
      </c>
      <c r="G72" s="25" t="s">
        <v>470</v>
      </c>
      <c r="H72" s="28">
        <v>1</v>
      </c>
      <c r="I72" s="42"/>
      <c r="J72" s="25"/>
      <c r="K72" s="25"/>
      <c r="L72" s="25" t="s">
        <v>386</v>
      </c>
    </row>
    <row r="73" spans="1:12">
      <c r="A73" s="25">
        <v>71</v>
      </c>
      <c r="B73" s="40"/>
      <c r="C73" s="46" t="s">
        <v>344</v>
      </c>
      <c r="D73" s="26" t="s">
        <v>545</v>
      </c>
      <c r="E73" s="27" t="s">
        <v>75</v>
      </c>
      <c r="F73" s="41">
        <v>1</v>
      </c>
      <c r="G73" s="25" t="s">
        <v>73</v>
      </c>
      <c r="H73" s="28">
        <v>6</v>
      </c>
      <c r="I73" s="42"/>
      <c r="J73" s="25"/>
      <c r="K73" s="25"/>
      <c r="L73" s="25" t="s">
        <v>386</v>
      </c>
    </row>
    <row r="74" spans="1:12">
      <c r="A74" s="1">
        <v>72</v>
      </c>
      <c r="B74" s="37" t="s">
        <v>295</v>
      </c>
      <c r="C74" s="19" t="s">
        <v>344</v>
      </c>
      <c r="D74" s="20" t="s">
        <v>359</v>
      </c>
      <c r="E74" s="23" t="s">
        <v>21</v>
      </c>
      <c r="F74" s="4">
        <v>2</v>
      </c>
      <c r="G74" s="1" t="s">
        <v>308</v>
      </c>
      <c r="H74" s="24">
        <v>3</v>
      </c>
      <c r="I74" s="32">
        <v>2299</v>
      </c>
      <c r="J74" s="1">
        <v>72</v>
      </c>
      <c r="K74" s="1"/>
      <c r="L74" s="1" t="s">
        <v>9</v>
      </c>
    </row>
    <row r="75" spans="1:12">
      <c r="A75" s="1">
        <v>73</v>
      </c>
      <c r="B75" s="37" t="s">
        <v>283</v>
      </c>
      <c r="C75" s="19" t="s">
        <v>344</v>
      </c>
      <c r="D75" s="20" t="s">
        <v>359</v>
      </c>
      <c r="E75" s="23" t="s">
        <v>384</v>
      </c>
      <c r="F75" s="4">
        <v>2</v>
      </c>
      <c r="G75" s="1" t="s">
        <v>378</v>
      </c>
      <c r="H75" s="24">
        <v>2</v>
      </c>
      <c r="I75" s="32">
        <v>2299</v>
      </c>
      <c r="J75" s="1">
        <v>72</v>
      </c>
      <c r="K75" s="1"/>
      <c r="L75" s="1" t="s">
        <v>9</v>
      </c>
    </row>
    <row r="76" spans="1:12">
      <c r="A76" s="1">
        <v>74</v>
      </c>
      <c r="B76" s="37" t="s">
        <v>287</v>
      </c>
      <c r="C76" s="19" t="s">
        <v>344</v>
      </c>
      <c r="D76" s="20" t="s">
        <v>355</v>
      </c>
      <c r="E76" s="23" t="s">
        <v>21</v>
      </c>
      <c r="F76" s="5">
        <v>2</v>
      </c>
      <c r="G76" s="2" t="s">
        <v>305</v>
      </c>
      <c r="H76" s="24">
        <v>37</v>
      </c>
      <c r="I76" s="32">
        <v>2299</v>
      </c>
      <c r="J76" s="1">
        <v>72</v>
      </c>
      <c r="K76" s="1"/>
      <c r="L76" s="1" t="s">
        <v>9</v>
      </c>
    </row>
    <row r="77" spans="1:12">
      <c r="A77" s="1">
        <v>75</v>
      </c>
      <c r="B77" s="37" t="s">
        <v>290</v>
      </c>
      <c r="C77" s="19" t="s">
        <v>344</v>
      </c>
      <c r="D77" s="20" t="s">
        <v>355</v>
      </c>
      <c r="E77" s="23" t="s">
        <v>21</v>
      </c>
      <c r="F77" s="5">
        <v>1</v>
      </c>
      <c r="G77" s="2" t="s">
        <v>89</v>
      </c>
      <c r="H77" s="24">
        <v>8</v>
      </c>
      <c r="I77" s="32">
        <v>2299</v>
      </c>
      <c r="J77" s="1">
        <v>36</v>
      </c>
      <c r="K77" s="1"/>
      <c r="L77" s="1" t="s">
        <v>9</v>
      </c>
    </row>
    <row r="78" spans="1:12">
      <c r="A78" s="1">
        <v>76</v>
      </c>
      <c r="B78" s="37" t="s">
        <v>372</v>
      </c>
      <c r="C78" s="19" t="s">
        <v>344</v>
      </c>
      <c r="D78" s="20" t="s">
        <v>360</v>
      </c>
      <c r="E78" s="23" t="s">
        <v>21</v>
      </c>
      <c r="F78" s="5">
        <v>6</v>
      </c>
      <c r="G78" s="2" t="s">
        <v>379</v>
      </c>
      <c r="H78" s="24">
        <v>2</v>
      </c>
      <c r="I78" s="32">
        <v>2299</v>
      </c>
      <c r="J78" s="1">
        <v>213</v>
      </c>
      <c r="K78" s="1"/>
      <c r="L78" s="1" t="s">
        <v>9</v>
      </c>
    </row>
    <row r="79" spans="1:12">
      <c r="A79" s="1">
        <v>77</v>
      </c>
      <c r="B79" s="37" t="s">
        <v>282</v>
      </c>
      <c r="C79" s="19" t="s">
        <v>344</v>
      </c>
      <c r="D79" s="20" t="s">
        <v>361</v>
      </c>
      <c r="E79" s="23" t="s">
        <v>21</v>
      </c>
      <c r="F79" s="5">
        <v>1</v>
      </c>
      <c r="G79" s="2" t="s">
        <v>301</v>
      </c>
      <c r="H79" s="24">
        <v>2</v>
      </c>
      <c r="I79" s="32">
        <v>2299</v>
      </c>
      <c r="J79" s="1">
        <v>36</v>
      </c>
      <c r="K79" s="1"/>
      <c r="L79" s="1" t="s">
        <v>9</v>
      </c>
    </row>
    <row r="80" spans="1:12">
      <c r="A80" s="1">
        <v>78</v>
      </c>
      <c r="B80" s="37" t="s">
        <v>287</v>
      </c>
      <c r="C80" s="19" t="s">
        <v>344</v>
      </c>
      <c r="D80" s="20" t="s">
        <v>362</v>
      </c>
      <c r="E80" s="23" t="s">
        <v>21</v>
      </c>
      <c r="F80" s="5">
        <v>2</v>
      </c>
      <c r="G80" s="2" t="s">
        <v>305</v>
      </c>
      <c r="H80" s="24">
        <v>16</v>
      </c>
      <c r="I80" s="32">
        <v>2299</v>
      </c>
      <c r="J80" s="1">
        <v>72</v>
      </c>
      <c r="K80" s="1"/>
      <c r="L80" s="1" t="s">
        <v>9</v>
      </c>
    </row>
    <row r="81" spans="1:12">
      <c r="A81" s="1">
        <v>79</v>
      </c>
      <c r="B81" s="37" t="s">
        <v>288</v>
      </c>
      <c r="C81" s="19" t="s">
        <v>344</v>
      </c>
      <c r="D81" s="20" t="s">
        <v>362</v>
      </c>
      <c r="E81" s="23" t="s">
        <v>19</v>
      </c>
      <c r="F81" s="5">
        <v>2</v>
      </c>
      <c r="G81" s="2" t="s">
        <v>305</v>
      </c>
      <c r="H81" s="24">
        <v>4</v>
      </c>
      <c r="I81" s="32">
        <v>2299</v>
      </c>
      <c r="J81" s="1">
        <v>38</v>
      </c>
      <c r="K81" s="1"/>
      <c r="L81" s="1" t="s">
        <v>9</v>
      </c>
    </row>
    <row r="82" spans="1:12">
      <c r="A82" s="1">
        <v>80</v>
      </c>
      <c r="B82" s="37"/>
      <c r="C82" s="19" t="s">
        <v>344</v>
      </c>
      <c r="D82" s="20" t="s">
        <v>362</v>
      </c>
      <c r="E82" s="23" t="s">
        <v>384</v>
      </c>
      <c r="F82" s="5">
        <v>2</v>
      </c>
      <c r="G82" s="2" t="s">
        <v>378</v>
      </c>
      <c r="H82" s="24">
        <v>3</v>
      </c>
      <c r="I82" s="32">
        <v>2299</v>
      </c>
      <c r="J82" s="1">
        <v>72</v>
      </c>
      <c r="K82" s="1"/>
      <c r="L82" s="1" t="s">
        <v>9</v>
      </c>
    </row>
    <row r="83" spans="1:12">
      <c r="A83" s="1">
        <v>81</v>
      </c>
      <c r="B83" s="37" t="s">
        <v>287</v>
      </c>
      <c r="C83" s="19" t="s">
        <v>344</v>
      </c>
      <c r="D83" s="20" t="s">
        <v>363</v>
      </c>
      <c r="E83" s="23" t="s">
        <v>384</v>
      </c>
      <c r="F83" s="5">
        <v>2</v>
      </c>
      <c r="G83" s="23" t="s">
        <v>281</v>
      </c>
      <c r="H83" s="24">
        <v>6</v>
      </c>
      <c r="I83" s="32">
        <v>2299</v>
      </c>
      <c r="J83" s="1">
        <v>72</v>
      </c>
      <c r="K83" s="1"/>
      <c r="L83" s="1" t="s">
        <v>9</v>
      </c>
    </row>
    <row r="84" spans="1:12">
      <c r="A84" s="1">
        <v>82</v>
      </c>
      <c r="B84" s="37"/>
      <c r="C84" s="19" t="s">
        <v>345</v>
      </c>
      <c r="D84" s="20" t="s">
        <v>544</v>
      </c>
      <c r="E84" s="23" t="s">
        <v>21</v>
      </c>
      <c r="F84" s="5">
        <v>2</v>
      </c>
      <c r="G84" s="23" t="s">
        <v>165</v>
      </c>
      <c r="H84" s="24">
        <v>1</v>
      </c>
      <c r="I84" s="32"/>
      <c r="J84" s="1">
        <v>72</v>
      </c>
      <c r="K84" s="1" t="s">
        <v>498</v>
      </c>
      <c r="L84" s="1" t="s">
        <v>9</v>
      </c>
    </row>
    <row r="85" spans="1:12">
      <c r="A85" s="1">
        <v>83</v>
      </c>
      <c r="B85" s="37" t="s">
        <v>287</v>
      </c>
      <c r="C85" s="19" t="s">
        <v>344</v>
      </c>
      <c r="D85" s="20" t="s">
        <v>364</v>
      </c>
      <c r="E85" s="23" t="s">
        <v>384</v>
      </c>
      <c r="F85" s="5">
        <v>2</v>
      </c>
      <c r="G85" s="23" t="s">
        <v>281</v>
      </c>
      <c r="H85" s="24">
        <v>6</v>
      </c>
      <c r="I85" s="32">
        <v>2299</v>
      </c>
      <c r="J85" s="1">
        <v>72</v>
      </c>
      <c r="K85" s="1"/>
      <c r="L85" s="1" t="s">
        <v>9</v>
      </c>
    </row>
    <row r="86" spans="1:12">
      <c r="A86" s="1">
        <v>84</v>
      </c>
      <c r="B86" s="37" t="s">
        <v>287</v>
      </c>
      <c r="C86" s="19" t="s">
        <v>344</v>
      </c>
      <c r="D86" s="20" t="s">
        <v>365</v>
      </c>
      <c r="E86" s="23" t="s">
        <v>384</v>
      </c>
      <c r="F86" s="5">
        <v>2</v>
      </c>
      <c r="G86" s="23" t="s">
        <v>281</v>
      </c>
      <c r="H86" s="24">
        <v>3</v>
      </c>
      <c r="I86" s="32">
        <v>2299</v>
      </c>
      <c r="J86" s="1">
        <v>72</v>
      </c>
      <c r="K86" s="1"/>
      <c r="L86" s="1" t="s">
        <v>9</v>
      </c>
    </row>
    <row r="87" spans="1:12">
      <c r="A87" s="1">
        <v>85</v>
      </c>
      <c r="B87" s="37" t="s">
        <v>287</v>
      </c>
      <c r="C87" s="19" t="s">
        <v>344</v>
      </c>
      <c r="D87" s="20" t="s">
        <v>366</v>
      </c>
      <c r="E87" s="23" t="s">
        <v>384</v>
      </c>
      <c r="F87" s="5">
        <v>2</v>
      </c>
      <c r="G87" s="23" t="s">
        <v>281</v>
      </c>
      <c r="H87" s="24">
        <v>2</v>
      </c>
      <c r="I87" s="32">
        <v>2299</v>
      </c>
      <c r="J87" s="1">
        <v>72</v>
      </c>
      <c r="K87" s="1"/>
      <c r="L87" s="1" t="s">
        <v>9</v>
      </c>
    </row>
    <row r="88" spans="1:12">
      <c r="A88" s="1">
        <v>86</v>
      </c>
      <c r="B88" s="37" t="s">
        <v>287</v>
      </c>
      <c r="C88" s="19" t="s">
        <v>344</v>
      </c>
      <c r="D88" s="20" t="s">
        <v>367</v>
      </c>
      <c r="E88" s="23" t="s">
        <v>384</v>
      </c>
      <c r="F88" s="5">
        <v>2</v>
      </c>
      <c r="G88" s="23" t="s">
        <v>281</v>
      </c>
      <c r="H88" s="24">
        <v>7</v>
      </c>
      <c r="I88" s="32">
        <v>2299</v>
      </c>
      <c r="J88" s="1">
        <v>72</v>
      </c>
      <c r="K88" s="1"/>
      <c r="L88" s="1" t="s">
        <v>9</v>
      </c>
    </row>
    <row r="89" spans="1:12">
      <c r="A89" s="1">
        <v>87</v>
      </c>
      <c r="B89" s="37" t="s">
        <v>288</v>
      </c>
      <c r="C89" s="19" t="s">
        <v>344</v>
      </c>
      <c r="D89" s="20" t="s">
        <v>367</v>
      </c>
      <c r="E89" s="23" t="s">
        <v>19</v>
      </c>
      <c r="F89" s="5">
        <v>2</v>
      </c>
      <c r="G89" s="23" t="s">
        <v>281</v>
      </c>
      <c r="H89" s="24">
        <v>1</v>
      </c>
      <c r="I89" s="32">
        <v>2299</v>
      </c>
      <c r="J89" s="1">
        <v>38</v>
      </c>
      <c r="K89" s="1"/>
      <c r="L89" s="1" t="s">
        <v>9</v>
      </c>
    </row>
    <row r="90" spans="1:12">
      <c r="A90" s="1">
        <v>88</v>
      </c>
      <c r="B90" s="37" t="s">
        <v>287</v>
      </c>
      <c r="C90" s="19" t="s">
        <v>344</v>
      </c>
      <c r="D90" s="20" t="s">
        <v>368</v>
      </c>
      <c r="E90" s="23" t="s">
        <v>384</v>
      </c>
      <c r="F90" s="5">
        <v>2</v>
      </c>
      <c r="G90" s="23" t="s">
        <v>281</v>
      </c>
      <c r="H90" s="24">
        <v>2</v>
      </c>
      <c r="I90" s="32">
        <v>2299</v>
      </c>
      <c r="J90" s="1">
        <v>72</v>
      </c>
      <c r="K90" s="1"/>
      <c r="L90" s="1" t="s">
        <v>9</v>
      </c>
    </row>
    <row r="91" spans="1:12">
      <c r="A91" s="7"/>
      <c r="B91" s="22"/>
      <c r="C91" s="22"/>
      <c r="D91" s="21"/>
      <c r="E91" s="22"/>
      <c r="F91" s="9"/>
      <c r="G91" s="6"/>
      <c r="H91" s="22">
        <f>SUM(H3:H90)</f>
        <v>654</v>
      </c>
      <c r="I91" s="21"/>
      <c r="J91" s="7"/>
      <c r="K91" s="7"/>
      <c r="L91" s="7"/>
    </row>
    <row r="92" spans="1:12">
      <c r="C92" s="22"/>
      <c r="D92" s="21"/>
      <c r="E92" s="22"/>
      <c r="F92" s="9"/>
      <c r="G92" s="21" t="s">
        <v>586</v>
      </c>
      <c r="H92" s="52">
        <v>14</v>
      </c>
      <c r="I92" s="21"/>
      <c r="J92" s="7"/>
      <c r="K92" s="7"/>
      <c r="L92" s="7"/>
    </row>
    <row r="93" spans="1:12">
      <c r="A93" t="s">
        <v>77</v>
      </c>
    </row>
    <row r="94" spans="1:12">
      <c r="A94" s="1">
        <v>88</v>
      </c>
      <c r="B94" s="29" t="s">
        <v>68</v>
      </c>
      <c r="C94" s="29" t="s">
        <v>344</v>
      </c>
      <c r="D94" s="29" t="s">
        <v>57</v>
      </c>
      <c r="E94" s="19" t="s">
        <v>98</v>
      </c>
      <c r="F94" s="4">
        <v>1</v>
      </c>
      <c r="G94" s="1" t="s">
        <v>594</v>
      </c>
      <c r="H94" s="19">
        <v>1</v>
      </c>
      <c r="I94" s="29">
        <v>8760</v>
      </c>
      <c r="J94" s="1">
        <v>4</v>
      </c>
      <c r="K94" s="1"/>
      <c r="L94" s="1" t="s">
        <v>9</v>
      </c>
    </row>
    <row r="95" spans="1:12">
      <c r="A95" s="1">
        <v>89</v>
      </c>
      <c r="B95" s="29" t="s">
        <v>67</v>
      </c>
      <c r="C95" s="29" t="s">
        <v>344</v>
      </c>
      <c r="D95" s="29" t="s">
        <v>36</v>
      </c>
      <c r="E95" s="19" t="s">
        <v>97</v>
      </c>
      <c r="F95" s="4">
        <v>1</v>
      </c>
      <c r="G95" s="1" t="s">
        <v>594</v>
      </c>
      <c r="H95" s="19">
        <v>1</v>
      </c>
      <c r="I95" s="29">
        <v>8760</v>
      </c>
      <c r="J95" s="1">
        <v>4</v>
      </c>
      <c r="K95" s="1"/>
      <c r="L95" s="1" t="s">
        <v>9</v>
      </c>
    </row>
    <row r="96" spans="1:12">
      <c r="A96" s="1">
        <v>90</v>
      </c>
      <c r="B96" s="29" t="s">
        <v>68</v>
      </c>
      <c r="C96" s="29" t="s">
        <v>344</v>
      </c>
      <c r="D96" s="29" t="s">
        <v>45</v>
      </c>
      <c r="E96" s="19" t="s">
        <v>98</v>
      </c>
      <c r="F96" s="4">
        <v>1</v>
      </c>
      <c r="G96" s="1" t="s">
        <v>594</v>
      </c>
      <c r="H96" s="19">
        <v>1</v>
      </c>
      <c r="I96" s="29">
        <v>8760</v>
      </c>
      <c r="J96" s="1">
        <v>4</v>
      </c>
      <c r="K96" s="1"/>
      <c r="L96" s="1" t="s">
        <v>9</v>
      </c>
    </row>
    <row r="97" spans="1:12">
      <c r="A97" s="1">
        <v>91</v>
      </c>
      <c r="B97" s="29" t="s">
        <v>67</v>
      </c>
      <c r="C97" s="29" t="s">
        <v>344</v>
      </c>
      <c r="D97" s="29" t="s">
        <v>46</v>
      </c>
      <c r="E97" s="19" t="s">
        <v>97</v>
      </c>
      <c r="F97" s="4">
        <v>1</v>
      </c>
      <c r="G97" s="1" t="s">
        <v>594</v>
      </c>
      <c r="H97" s="19">
        <v>1</v>
      </c>
      <c r="I97" s="29">
        <v>8760</v>
      </c>
      <c r="J97" s="1">
        <v>4</v>
      </c>
      <c r="K97" s="1"/>
      <c r="L97" s="1" t="s">
        <v>9</v>
      </c>
    </row>
    <row r="98" spans="1:12">
      <c r="A98" s="1">
        <v>92</v>
      </c>
      <c r="B98" s="29" t="s">
        <v>68</v>
      </c>
      <c r="C98" s="29" t="s">
        <v>344</v>
      </c>
      <c r="D98" s="29" t="s">
        <v>65</v>
      </c>
      <c r="E98" s="19" t="s">
        <v>98</v>
      </c>
      <c r="F98" s="4">
        <v>1</v>
      </c>
      <c r="G98" s="1" t="s">
        <v>594</v>
      </c>
      <c r="H98" s="19">
        <v>1</v>
      </c>
      <c r="I98" s="29">
        <v>8760</v>
      </c>
      <c r="J98" s="1">
        <v>4</v>
      </c>
      <c r="K98" s="1"/>
      <c r="L98" s="1" t="s">
        <v>9</v>
      </c>
    </row>
    <row r="99" spans="1:12">
      <c r="A99" s="1">
        <v>93</v>
      </c>
      <c r="B99" s="29" t="s">
        <v>67</v>
      </c>
      <c r="C99" s="29" t="s">
        <v>344</v>
      </c>
      <c r="D99" s="29" t="s">
        <v>50</v>
      </c>
      <c r="E99" s="19" t="s">
        <v>97</v>
      </c>
      <c r="F99" s="4">
        <v>1</v>
      </c>
      <c r="G99" s="1" t="s">
        <v>594</v>
      </c>
      <c r="H99" s="19">
        <v>1</v>
      </c>
      <c r="I99" s="29">
        <v>8760</v>
      </c>
      <c r="J99" s="1">
        <v>4</v>
      </c>
      <c r="K99" s="1"/>
      <c r="L99" s="1" t="s">
        <v>9</v>
      </c>
    </row>
    <row r="100" spans="1:12">
      <c r="A100" s="1">
        <v>94</v>
      </c>
      <c r="B100" s="29" t="s">
        <v>68</v>
      </c>
      <c r="C100" s="29" t="s">
        <v>344</v>
      </c>
      <c r="D100" s="29" t="s">
        <v>23</v>
      </c>
      <c r="E100" s="19" t="s">
        <v>98</v>
      </c>
      <c r="F100" s="4">
        <v>1</v>
      </c>
      <c r="G100" s="1" t="s">
        <v>594</v>
      </c>
      <c r="H100" s="19">
        <v>1</v>
      </c>
      <c r="I100" s="29">
        <v>8760</v>
      </c>
      <c r="J100" s="1">
        <v>4</v>
      </c>
      <c r="K100" s="1"/>
      <c r="L100" s="1" t="s">
        <v>9</v>
      </c>
    </row>
    <row r="101" spans="1:12">
      <c r="A101" s="1">
        <v>95</v>
      </c>
      <c r="B101" s="29" t="s">
        <v>67</v>
      </c>
      <c r="C101" s="29" t="s">
        <v>344</v>
      </c>
      <c r="D101" s="29" t="s">
        <v>175</v>
      </c>
      <c r="E101" s="19" t="s">
        <v>97</v>
      </c>
      <c r="F101" s="4">
        <v>1</v>
      </c>
      <c r="G101" s="1" t="s">
        <v>594</v>
      </c>
      <c r="H101" s="19">
        <v>1</v>
      </c>
      <c r="I101" s="29">
        <v>8760</v>
      </c>
      <c r="J101" s="1">
        <v>4</v>
      </c>
      <c r="K101" s="1"/>
      <c r="L101" s="1" t="s">
        <v>9</v>
      </c>
    </row>
    <row r="102" spans="1:12">
      <c r="A102" s="1">
        <v>96</v>
      </c>
      <c r="B102" s="19" t="s">
        <v>67</v>
      </c>
      <c r="C102" s="19" t="s">
        <v>344</v>
      </c>
      <c r="D102" s="19" t="s">
        <v>380</v>
      </c>
      <c r="E102" s="19" t="s">
        <v>97</v>
      </c>
      <c r="F102" s="4">
        <v>1</v>
      </c>
      <c r="G102" s="1" t="s">
        <v>594</v>
      </c>
      <c r="H102" s="19">
        <v>5</v>
      </c>
      <c r="I102" s="29">
        <v>8760</v>
      </c>
      <c r="J102" s="1">
        <v>4</v>
      </c>
      <c r="K102" s="1"/>
      <c r="L102" s="1" t="s">
        <v>9</v>
      </c>
    </row>
    <row r="103" spans="1:12">
      <c r="A103" s="1">
        <v>97</v>
      </c>
      <c r="B103" s="19" t="s">
        <v>162</v>
      </c>
      <c r="C103" s="19" t="s">
        <v>344</v>
      </c>
      <c r="D103" s="19" t="s">
        <v>35</v>
      </c>
      <c r="E103" s="19" t="s">
        <v>97</v>
      </c>
      <c r="F103" s="4">
        <v>1</v>
      </c>
      <c r="G103" s="1" t="s">
        <v>595</v>
      </c>
      <c r="H103" s="19">
        <v>1</v>
      </c>
      <c r="I103" s="29">
        <v>8760</v>
      </c>
      <c r="J103" s="1">
        <v>7</v>
      </c>
      <c r="K103" s="1"/>
      <c r="L103" s="1" t="s">
        <v>9</v>
      </c>
    </row>
    <row r="104" spans="1:12">
      <c r="A104" s="1">
        <v>98</v>
      </c>
      <c r="B104" s="29" t="s">
        <v>382</v>
      </c>
      <c r="C104" s="19" t="s">
        <v>344</v>
      </c>
      <c r="D104" s="29" t="s">
        <v>381</v>
      </c>
      <c r="E104" s="19" t="s">
        <v>224</v>
      </c>
      <c r="F104" s="4">
        <v>1</v>
      </c>
      <c r="G104" s="1" t="s">
        <v>597</v>
      </c>
      <c r="H104" s="29">
        <v>1</v>
      </c>
      <c r="I104" s="29">
        <v>8760</v>
      </c>
      <c r="J104" s="1">
        <v>6</v>
      </c>
      <c r="K104" s="1"/>
      <c r="L104" s="1" t="s">
        <v>9</v>
      </c>
    </row>
    <row r="105" spans="1:12">
      <c r="A105" s="1">
        <v>99</v>
      </c>
      <c r="B105" s="29" t="s">
        <v>68</v>
      </c>
      <c r="C105" s="19" t="s">
        <v>344</v>
      </c>
      <c r="D105" s="29" t="s">
        <v>381</v>
      </c>
      <c r="E105" s="19" t="s">
        <v>98</v>
      </c>
      <c r="F105" s="4">
        <v>1</v>
      </c>
      <c r="G105" s="1" t="s">
        <v>594</v>
      </c>
      <c r="H105" s="29">
        <v>3</v>
      </c>
      <c r="I105" s="29">
        <v>8760</v>
      </c>
      <c r="J105" s="1">
        <v>4</v>
      </c>
      <c r="K105" s="1"/>
      <c r="L105" s="1" t="s">
        <v>9</v>
      </c>
    </row>
    <row r="106" spans="1:12">
      <c r="A106" s="1">
        <v>100</v>
      </c>
      <c r="B106" s="19" t="s">
        <v>383</v>
      </c>
      <c r="C106" s="19" t="s">
        <v>344</v>
      </c>
      <c r="D106" s="19" t="s">
        <v>11</v>
      </c>
      <c r="E106" s="19" t="s">
        <v>224</v>
      </c>
      <c r="F106" s="4">
        <v>1</v>
      </c>
      <c r="G106" s="1" t="s">
        <v>596</v>
      </c>
      <c r="H106" s="19">
        <v>2</v>
      </c>
      <c r="I106" s="29">
        <v>8760</v>
      </c>
      <c r="J106" s="1">
        <v>6</v>
      </c>
      <c r="K106" s="1"/>
      <c r="L106" s="1" t="s">
        <v>9</v>
      </c>
    </row>
    <row r="107" spans="1:12">
      <c r="A107" s="1">
        <v>101</v>
      </c>
      <c r="B107" s="19" t="s">
        <v>68</v>
      </c>
      <c r="C107" s="19" t="s">
        <v>344</v>
      </c>
      <c r="D107" s="19" t="s">
        <v>11</v>
      </c>
      <c r="E107" s="19" t="s">
        <v>98</v>
      </c>
      <c r="F107" s="4">
        <v>1</v>
      </c>
      <c r="G107" s="1" t="s">
        <v>594</v>
      </c>
      <c r="H107" s="19">
        <v>4</v>
      </c>
      <c r="I107" s="29">
        <v>8760</v>
      </c>
      <c r="J107" s="1">
        <v>4</v>
      </c>
      <c r="K107" s="1"/>
      <c r="L107" s="1" t="s">
        <v>9</v>
      </c>
    </row>
    <row r="108" spans="1:12">
      <c r="A108" s="1">
        <v>102</v>
      </c>
      <c r="B108" s="19" t="s">
        <v>134</v>
      </c>
      <c r="C108" s="19" t="s">
        <v>344</v>
      </c>
      <c r="D108" s="19" t="s">
        <v>11</v>
      </c>
      <c r="E108" s="19" t="s">
        <v>97</v>
      </c>
      <c r="F108" s="4">
        <v>1</v>
      </c>
      <c r="G108" s="1" t="s">
        <v>594</v>
      </c>
      <c r="H108" s="19">
        <v>2</v>
      </c>
      <c r="I108" s="29">
        <v>8760</v>
      </c>
      <c r="J108" s="1">
        <v>4</v>
      </c>
      <c r="K108" s="1"/>
      <c r="L108" s="1" t="s">
        <v>9</v>
      </c>
    </row>
    <row r="109" spans="1:12">
      <c r="A109" s="1">
        <v>103</v>
      </c>
      <c r="B109" s="19" t="s">
        <v>67</v>
      </c>
      <c r="C109" s="19" t="s">
        <v>344</v>
      </c>
      <c r="D109" s="19" t="s">
        <v>11</v>
      </c>
      <c r="E109" s="19" t="s">
        <v>97</v>
      </c>
      <c r="F109" s="4">
        <v>1</v>
      </c>
      <c r="G109" s="1" t="s">
        <v>594</v>
      </c>
      <c r="H109" s="19">
        <v>2</v>
      </c>
      <c r="I109" s="29">
        <v>8760</v>
      </c>
      <c r="J109" s="1">
        <v>4</v>
      </c>
      <c r="K109" s="1"/>
      <c r="L109" s="1" t="s">
        <v>9</v>
      </c>
    </row>
    <row r="110" spans="1:12">
      <c r="A110" s="1">
        <v>104</v>
      </c>
      <c r="B110" s="19" t="s">
        <v>69</v>
      </c>
      <c r="C110" s="19" t="s">
        <v>344</v>
      </c>
      <c r="D110" s="19" t="s">
        <v>11</v>
      </c>
      <c r="E110" s="19" t="s">
        <v>97</v>
      </c>
      <c r="F110" s="4">
        <v>1</v>
      </c>
      <c r="G110" s="1" t="s">
        <v>594</v>
      </c>
      <c r="H110" s="19">
        <v>1</v>
      </c>
      <c r="I110" s="29">
        <v>8760</v>
      </c>
      <c r="J110" s="1">
        <v>4</v>
      </c>
      <c r="K110" s="1"/>
      <c r="L110" s="1" t="s">
        <v>9</v>
      </c>
    </row>
    <row r="111" spans="1:12">
      <c r="A111" s="7"/>
      <c r="B111" s="22"/>
      <c r="C111" s="22"/>
      <c r="D111" s="22"/>
      <c r="E111" s="22"/>
      <c r="F111" s="8"/>
      <c r="G111" s="7"/>
      <c r="H111" s="22">
        <f>SUM(H94:H110)</f>
        <v>29</v>
      </c>
      <c r="I111" s="21"/>
      <c r="J111" s="7"/>
      <c r="K111" s="7"/>
      <c r="L111" s="7"/>
    </row>
    <row r="113" spans="1:12" ht="17.25" customHeight="1">
      <c r="A113" t="s">
        <v>70</v>
      </c>
    </row>
    <row r="114" spans="1:12">
      <c r="A114" s="1">
        <v>105</v>
      </c>
      <c r="B114" s="19"/>
      <c r="C114" s="19" t="s">
        <v>344</v>
      </c>
      <c r="D114" s="19" t="s">
        <v>71</v>
      </c>
      <c r="E114" s="19" t="s">
        <v>72</v>
      </c>
      <c r="F114" s="4">
        <v>1</v>
      </c>
      <c r="G114" s="19" t="s">
        <v>585</v>
      </c>
      <c r="H114" s="19">
        <v>83</v>
      </c>
      <c r="I114" s="29">
        <v>0</v>
      </c>
      <c r="J114" s="1">
        <v>60</v>
      </c>
      <c r="K114" s="1"/>
      <c r="L114" s="1" t="s">
        <v>9</v>
      </c>
    </row>
    <row r="115" spans="1:12">
      <c r="A115" s="1">
        <v>106</v>
      </c>
      <c r="B115" s="19" t="s">
        <v>581</v>
      </c>
      <c r="C115" s="19" t="s">
        <v>344</v>
      </c>
      <c r="D115" s="19" t="s">
        <v>71</v>
      </c>
      <c r="E115" s="19" t="s">
        <v>218</v>
      </c>
      <c r="F115" s="33">
        <v>1</v>
      </c>
      <c r="G115" s="19" t="s">
        <v>585</v>
      </c>
      <c r="H115" s="19">
        <v>12</v>
      </c>
      <c r="I115" s="29">
        <v>0</v>
      </c>
      <c r="J115" s="12">
        <v>40</v>
      </c>
      <c r="K115" s="19"/>
      <c r="L115" s="1" t="s">
        <v>9</v>
      </c>
    </row>
    <row r="116" spans="1:12">
      <c r="F116" s="18"/>
      <c r="G116" s="18"/>
      <c r="H116" s="18">
        <f>SUM(H114:H115)</f>
        <v>95</v>
      </c>
      <c r="J116" s="11"/>
      <c r="K116" s="18"/>
    </row>
  </sheetData>
  <phoneticPr fontId="2"/>
  <dataValidations count="1">
    <dataValidation allowBlank="1" showInputMessage="1" showErrorMessage="1" sqref="G83:G90 D3:E90" xr:uid="{36996376-08D3-465B-A708-B9DC43575606}"/>
  </dataValidations>
  <pageMargins left="0.7" right="0.7" top="0.75" bottom="0.75" header="0.3" footer="0.3"/>
  <pageSetup paperSize="8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22C3-ABE4-4B56-A7DF-1A8386A544AD}">
  <sheetPr>
    <pageSetUpPr fitToPage="1"/>
  </sheetPr>
  <dimension ref="A1:L77"/>
  <sheetViews>
    <sheetView topLeftCell="A61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customWidth="1"/>
    <col min="4" max="4" width="23" style="18" bestFit="1" customWidth="1"/>
    <col min="5" max="5" width="21.375" style="18" bestFit="1" customWidth="1"/>
    <col min="6" max="6" width="4.8125" bestFit="1" customWidth="1"/>
    <col min="7" max="7" width="23.9375" customWidth="1"/>
    <col min="8" max="8" width="5.1875" style="18" bestFit="1" customWidth="1"/>
    <col min="9" max="9" width="12.9375" style="31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" t="s">
        <v>1</v>
      </c>
      <c r="D2" s="19" t="s">
        <v>13</v>
      </c>
      <c r="E2" s="19" t="s">
        <v>2</v>
      </c>
      <c r="F2" s="1" t="s">
        <v>3</v>
      </c>
      <c r="G2" s="1" t="s">
        <v>6</v>
      </c>
      <c r="H2" s="19" t="s">
        <v>4</v>
      </c>
      <c r="I2" s="29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37" t="s">
        <v>282</v>
      </c>
      <c r="C3" s="1" t="s">
        <v>332</v>
      </c>
      <c r="D3" s="20" t="s">
        <v>297</v>
      </c>
      <c r="E3" s="23" t="s">
        <v>21</v>
      </c>
      <c r="F3" s="4">
        <v>1</v>
      </c>
      <c r="G3" s="1" t="s">
        <v>301</v>
      </c>
      <c r="H3" s="24">
        <v>1</v>
      </c>
      <c r="I3" s="32">
        <v>2299</v>
      </c>
      <c r="J3" s="1">
        <v>36</v>
      </c>
      <c r="K3" s="1"/>
      <c r="L3" s="1" t="s">
        <v>9</v>
      </c>
    </row>
    <row r="4" spans="1:12">
      <c r="A4" s="1">
        <v>2</v>
      </c>
      <c r="B4" s="37" t="s">
        <v>282</v>
      </c>
      <c r="C4" s="1" t="s">
        <v>332</v>
      </c>
      <c r="D4" s="20" t="s">
        <v>324</v>
      </c>
      <c r="E4" s="23" t="s">
        <v>21</v>
      </c>
      <c r="F4" s="4">
        <v>1</v>
      </c>
      <c r="G4" s="1" t="s">
        <v>301</v>
      </c>
      <c r="H4" s="24">
        <v>1</v>
      </c>
      <c r="I4" s="32">
        <v>2601.5</v>
      </c>
      <c r="J4" s="1">
        <v>36</v>
      </c>
      <c r="K4" s="1"/>
      <c r="L4" s="1" t="s">
        <v>9</v>
      </c>
    </row>
    <row r="5" spans="1:12">
      <c r="A5" s="1">
        <v>3</v>
      </c>
      <c r="B5" s="37" t="s">
        <v>282</v>
      </c>
      <c r="C5" s="1" t="s">
        <v>332</v>
      </c>
      <c r="D5" s="20" t="s">
        <v>300</v>
      </c>
      <c r="E5" s="23" t="s">
        <v>21</v>
      </c>
      <c r="F5" s="4">
        <v>1</v>
      </c>
      <c r="G5" s="1" t="s">
        <v>301</v>
      </c>
      <c r="H5" s="24">
        <v>1</v>
      </c>
      <c r="I5" s="32">
        <v>2299</v>
      </c>
      <c r="J5" s="1">
        <v>36</v>
      </c>
      <c r="K5" s="1"/>
      <c r="L5" s="1" t="s">
        <v>9</v>
      </c>
    </row>
    <row r="6" spans="1:12">
      <c r="A6" s="1">
        <v>4</v>
      </c>
      <c r="B6" s="37"/>
      <c r="C6" s="1" t="s">
        <v>332</v>
      </c>
      <c r="D6" s="20" t="s">
        <v>338</v>
      </c>
      <c r="E6" s="23" t="s">
        <v>304</v>
      </c>
      <c r="F6" s="4">
        <v>1</v>
      </c>
      <c r="G6" s="1" t="s">
        <v>316</v>
      </c>
      <c r="H6" s="24">
        <v>2</v>
      </c>
      <c r="I6" s="32">
        <v>2299</v>
      </c>
      <c r="J6" s="1"/>
      <c r="K6" s="2" t="s">
        <v>32</v>
      </c>
      <c r="L6" s="1" t="s">
        <v>9</v>
      </c>
    </row>
    <row r="7" spans="1:12">
      <c r="A7" s="1">
        <v>5</v>
      </c>
      <c r="B7" s="37" t="s">
        <v>284</v>
      </c>
      <c r="C7" s="1" t="s">
        <v>332</v>
      </c>
      <c r="D7" s="20" t="s">
        <v>174</v>
      </c>
      <c r="E7" s="23" t="s">
        <v>19</v>
      </c>
      <c r="F7" s="4">
        <v>1</v>
      </c>
      <c r="G7" s="1" t="s">
        <v>303</v>
      </c>
      <c r="H7" s="24">
        <v>1</v>
      </c>
      <c r="I7" s="32">
        <v>2299</v>
      </c>
      <c r="J7" s="1">
        <v>26</v>
      </c>
      <c r="K7" s="1"/>
      <c r="L7" s="1" t="s">
        <v>9</v>
      </c>
    </row>
    <row r="8" spans="1:12">
      <c r="A8" s="1">
        <v>6</v>
      </c>
      <c r="B8" s="37" t="s">
        <v>283</v>
      </c>
      <c r="C8" s="1" t="s">
        <v>332</v>
      </c>
      <c r="D8" s="20" t="s">
        <v>261</v>
      </c>
      <c r="E8" s="23" t="s">
        <v>21</v>
      </c>
      <c r="F8" s="4">
        <v>1</v>
      </c>
      <c r="G8" s="1" t="s">
        <v>302</v>
      </c>
      <c r="H8" s="24">
        <v>3</v>
      </c>
      <c r="I8" s="32">
        <v>2601.5</v>
      </c>
      <c r="J8" s="1">
        <v>36</v>
      </c>
      <c r="K8" s="1"/>
      <c r="L8" s="1" t="s">
        <v>9</v>
      </c>
    </row>
    <row r="9" spans="1:12">
      <c r="A9" s="1">
        <v>7</v>
      </c>
      <c r="B9" s="37" t="s">
        <v>282</v>
      </c>
      <c r="C9" s="1" t="s">
        <v>332</v>
      </c>
      <c r="D9" s="20" t="s">
        <v>299</v>
      </c>
      <c r="E9" s="23" t="s">
        <v>21</v>
      </c>
      <c r="F9" s="4">
        <v>1</v>
      </c>
      <c r="G9" s="2" t="s">
        <v>301</v>
      </c>
      <c r="H9" s="24">
        <v>1</v>
      </c>
      <c r="I9" s="32">
        <v>2299</v>
      </c>
      <c r="J9" s="1">
        <v>36</v>
      </c>
      <c r="K9" s="2"/>
      <c r="L9" s="1" t="s">
        <v>9</v>
      </c>
    </row>
    <row r="10" spans="1:12">
      <c r="A10" s="1">
        <v>8</v>
      </c>
      <c r="B10" s="37"/>
      <c r="C10" s="1" t="s">
        <v>332</v>
      </c>
      <c r="D10" s="20" t="s">
        <v>339</v>
      </c>
      <c r="E10" s="23" t="s">
        <v>304</v>
      </c>
      <c r="F10" s="5">
        <v>1</v>
      </c>
      <c r="G10" s="1" t="s">
        <v>316</v>
      </c>
      <c r="H10" s="24">
        <v>3</v>
      </c>
      <c r="I10" s="32">
        <v>2299</v>
      </c>
      <c r="J10" s="2"/>
      <c r="K10" s="2" t="s">
        <v>32</v>
      </c>
      <c r="L10" s="1" t="s">
        <v>9</v>
      </c>
    </row>
    <row r="11" spans="1:12">
      <c r="A11" s="1">
        <v>9</v>
      </c>
      <c r="B11" s="37" t="s">
        <v>285</v>
      </c>
      <c r="C11" s="1" t="s">
        <v>332</v>
      </c>
      <c r="D11" s="20" t="s">
        <v>262</v>
      </c>
      <c r="E11" s="23" t="s">
        <v>21</v>
      </c>
      <c r="F11" s="5">
        <v>1</v>
      </c>
      <c r="G11" s="2" t="s">
        <v>551</v>
      </c>
      <c r="H11" s="24">
        <v>1</v>
      </c>
      <c r="I11" s="32">
        <v>2601.5</v>
      </c>
      <c r="J11" s="2">
        <v>36</v>
      </c>
      <c r="K11" s="2"/>
      <c r="L11" s="1" t="s">
        <v>9</v>
      </c>
    </row>
    <row r="12" spans="1:12">
      <c r="A12" s="1">
        <v>10</v>
      </c>
      <c r="B12" s="37" t="s">
        <v>286</v>
      </c>
      <c r="C12" s="1" t="s">
        <v>332</v>
      </c>
      <c r="D12" s="20" t="s">
        <v>262</v>
      </c>
      <c r="E12" s="23" t="s">
        <v>21</v>
      </c>
      <c r="F12" s="5">
        <v>1</v>
      </c>
      <c r="G12" s="2" t="s">
        <v>551</v>
      </c>
      <c r="H12" s="24">
        <v>1</v>
      </c>
      <c r="I12" s="32">
        <v>2601.5</v>
      </c>
      <c r="J12" s="2">
        <v>36</v>
      </c>
      <c r="K12" s="2"/>
      <c r="L12" s="1" t="s">
        <v>9</v>
      </c>
    </row>
    <row r="13" spans="1:12">
      <c r="A13" s="1">
        <v>11</v>
      </c>
      <c r="B13" s="37" t="s">
        <v>289</v>
      </c>
      <c r="C13" s="1" t="s">
        <v>332</v>
      </c>
      <c r="D13" s="20" t="s">
        <v>35</v>
      </c>
      <c r="E13" s="23" t="s">
        <v>21</v>
      </c>
      <c r="F13" s="5">
        <v>1</v>
      </c>
      <c r="G13" s="2" t="s">
        <v>89</v>
      </c>
      <c r="H13" s="24">
        <v>4</v>
      </c>
      <c r="I13" s="32">
        <v>2299</v>
      </c>
      <c r="J13" s="2">
        <v>36</v>
      </c>
      <c r="K13" s="2"/>
      <c r="L13" s="1" t="s">
        <v>9</v>
      </c>
    </row>
    <row r="14" spans="1:12" s="10" customFormat="1">
      <c r="A14" s="1">
        <v>12</v>
      </c>
      <c r="B14" s="48"/>
      <c r="C14" s="2" t="s">
        <v>346</v>
      </c>
      <c r="D14" s="49" t="s">
        <v>35</v>
      </c>
      <c r="E14" s="50" t="s">
        <v>72</v>
      </c>
      <c r="F14" s="5">
        <v>1</v>
      </c>
      <c r="G14" s="2" t="s">
        <v>73</v>
      </c>
      <c r="H14" s="24">
        <v>5</v>
      </c>
      <c r="I14" s="32"/>
      <c r="J14" s="2">
        <v>60</v>
      </c>
      <c r="K14" s="2"/>
      <c r="L14" s="2" t="s">
        <v>9</v>
      </c>
    </row>
    <row r="15" spans="1:12">
      <c r="A15" s="1">
        <v>13</v>
      </c>
      <c r="B15" s="37" t="s">
        <v>289</v>
      </c>
      <c r="C15" s="1" t="s">
        <v>332</v>
      </c>
      <c r="D15" s="20" t="s">
        <v>266</v>
      </c>
      <c r="E15" s="23" t="s">
        <v>21</v>
      </c>
      <c r="F15" s="5">
        <v>1</v>
      </c>
      <c r="G15" s="2" t="s">
        <v>89</v>
      </c>
      <c r="H15" s="24">
        <v>69</v>
      </c>
      <c r="I15" s="32">
        <v>2601.5</v>
      </c>
      <c r="J15" s="2">
        <v>36</v>
      </c>
      <c r="K15" s="2"/>
      <c r="L15" s="1" t="s">
        <v>9</v>
      </c>
    </row>
    <row r="16" spans="1:12">
      <c r="A16" s="1">
        <v>14</v>
      </c>
      <c r="B16" s="37" t="s">
        <v>290</v>
      </c>
      <c r="C16" s="1" t="s">
        <v>332</v>
      </c>
      <c r="D16" s="20" t="s">
        <v>266</v>
      </c>
      <c r="E16" s="23" t="s">
        <v>21</v>
      </c>
      <c r="F16" s="5">
        <v>1</v>
      </c>
      <c r="G16" s="2" t="s">
        <v>89</v>
      </c>
      <c r="H16" s="24">
        <v>2</v>
      </c>
      <c r="I16" s="32">
        <v>2601.5</v>
      </c>
      <c r="J16" s="2">
        <v>36</v>
      </c>
      <c r="K16" s="2"/>
      <c r="L16" s="1" t="s">
        <v>9</v>
      </c>
    </row>
    <row r="17" spans="1:12">
      <c r="A17" s="1">
        <v>15</v>
      </c>
      <c r="B17" s="37"/>
      <c r="C17" s="1" t="s">
        <v>332</v>
      </c>
      <c r="D17" s="20" t="s">
        <v>266</v>
      </c>
      <c r="E17" s="23" t="s">
        <v>304</v>
      </c>
      <c r="F17" s="5">
        <v>1</v>
      </c>
      <c r="G17" s="2" t="s">
        <v>76</v>
      </c>
      <c r="H17" s="24">
        <v>4</v>
      </c>
      <c r="I17" s="32"/>
      <c r="J17" s="2"/>
      <c r="K17" s="2"/>
      <c r="L17" s="1" t="s">
        <v>9</v>
      </c>
    </row>
    <row r="18" spans="1:12">
      <c r="A18" s="1">
        <v>16</v>
      </c>
      <c r="B18" s="37"/>
      <c r="C18" s="1" t="s">
        <v>332</v>
      </c>
      <c r="D18" s="20" t="s">
        <v>550</v>
      </c>
      <c r="E18" s="23" t="s">
        <v>164</v>
      </c>
      <c r="F18" s="5">
        <v>1</v>
      </c>
      <c r="G18" s="2"/>
      <c r="H18" s="24">
        <v>3</v>
      </c>
      <c r="I18" s="32"/>
      <c r="J18" s="2">
        <v>22</v>
      </c>
      <c r="K18" s="2"/>
      <c r="L18" s="1" t="s">
        <v>9</v>
      </c>
    </row>
    <row r="19" spans="1:12">
      <c r="A19" s="1">
        <v>17</v>
      </c>
      <c r="B19" s="37" t="s">
        <v>285</v>
      </c>
      <c r="C19" s="1" t="s">
        <v>332</v>
      </c>
      <c r="D19" s="20" t="s">
        <v>267</v>
      </c>
      <c r="E19" s="23" t="s">
        <v>21</v>
      </c>
      <c r="F19" s="5">
        <v>1</v>
      </c>
      <c r="G19" s="2" t="s">
        <v>551</v>
      </c>
      <c r="H19" s="24">
        <v>1</v>
      </c>
      <c r="I19" s="32">
        <v>2601.5</v>
      </c>
      <c r="J19" s="2">
        <v>36</v>
      </c>
      <c r="K19" s="2"/>
      <c r="L19" s="1" t="s">
        <v>9</v>
      </c>
    </row>
    <row r="20" spans="1:12">
      <c r="A20" s="1">
        <v>18</v>
      </c>
      <c r="B20" s="37" t="s">
        <v>286</v>
      </c>
      <c r="C20" s="1" t="s">
        <v>332</v>
      </c>
      <c r="D20" s="20" t="s">
        <v>267</v>
      </c>
      <c r="E20" s="23" t="s">
        <v>21</v>
      </c>
      <c r="F20" s="5">
        <v>1</v>
      </c>
      <c r="G20" s="2" t="s">
        <v>551</v>
      </c>
      <c r="H20" s="24">
        <v>1</v>
      </c>
      <c r="I20" s="32">
        <v>2601.5</v>
      </c>
      <c r="J20" s="2">
        <v>36</v>
      </c>
      <c r="K20" s="2"/>
      <c r="L20" s="1" t="s">
        <v>9</v>
      </c>
    </row>
    <row r="21" spans="1:12">
      <c r="A21" s="1">
        <v>19</v>
      </c>
      <c r="B21" s="37" t="s">
        <v>283</v>
      </c>
      <c r="C21" s="1" t="s">
        <v>332</v>
      </c>
      <c r="D21" s="20" t="s">
        <v>57</v>
      </c>
      <c r="E21" s="23" t="s">
        <v>21</v>
      </c>
      <c r="F21" s="5">
        <v>1</v>
      </c>
      <c r="G21" s="2" t="s">
        <v>302</v>
      </c>
      <c r="H21" s="24">
        <v>2</v>
      </c>
      <c r="I21" s="32">
        <v>2299</v>
      </c>
      <c r="J21" s="2">
        <v>36</v>
      </c>
      <c r="K21" s="2"/>
      <c r="L21" s="1" t="s">
        <v>9</v>
      </c>
    </row>
    <row r="22" spans="1:12" s="10" customFormat="1">
      <c r="A22" s="1">
        <v>20</v>
      </c>
      <c r="B22" s="48"/>
      <c r="C22" s="2" t="s">
        <v>346</v>
      </c>
      <c r="D22" s="49" t="s">
        <v>57</v>
      </c>
      <c r="E22" s="50" t="s">
        <v>72</v>
      </c>
      <c r="F22" s="5">
        <v>1</v>
      </c>
      <c r="G22" s="2" t="s">
        <v>73</v>
      </c>
      <c r="H22" s="24">
        <v>1</v>
      </c>
      <c r="I22" s="32"/>
      <c r="J22" s="2">
        <v>60</v>
      </c>
      <c r="K22" s="2"/>
      <c r="L22" s="2" t="s">
        <v>9</v>
      </c>
    </row>
    <row r="23" spans="1:12">
      <c r="A23" s="1">
        <v>21</v>
      </c>
      <c r="B23" s="37" t="s">
        <v>85</v>
      </c>
      <c r="C23" s="1" t="s">
        <v>332</v>
      </c>
      <c r="D23" s="20" t="s">
        <v>38</v>
      </c>
      <c r="E23" s="23" t="s">
        <v>21</v>
      </c>
      <c r="F23" s="5">
        <v>1</v>
      </c>
      <c r="G23" s="2" t="s">
        <v>253</v>
      </c>
      <c r="H23" s="24">
        <v>1</v>
      </c>
      <c r="I23" s="32"/>
      <c r="J23" s="2">
        <v>36</v>
      </c>
      <c r="K23" s="2"/>
      <c r="L23" s="1" t="s">
        <v>9</v>
      </c>
    </row>
    <row r="24" spans="1:12">
      <c r="A24" s="1">
        <v>22</v>
      </c>
      <c r="B24" s="37" t="s">
        <v>282</v>
      </c>
      <c r="C24" s="1" t="s">
        <v>332</v>
      </c>
      <c r="D24" s="20" t="s">
        <v>309</v>
      </c>
      <c r="E24" s="23" t="s">
        <v>21</v>
      </c>
      <c r="F24" s="5">
        <v>1</v>
      </c>
      <c r="G24" s="2" t="s">
        <v>301</v>
      </c>
      <c r="H24" s="24">
        <v>2</v>
      </c>
      <c r="I24" s="32">
        <v>2299</v>
      </c>
      <c r="J24" s="2">
        <v>36</v>
      </c>
      <c r="K24" s="2"/>
      <c r="L24" s="1" t="s">
        <v>9</v>
      </c>
    </row>
    <row r="25" spans="1:12">
      <c r="A25" s="1">
        <v>23</v>
      </c>
      <c r="B25" s="37" t="s">
        <v>292</v>
      </c>
      <c r="C25" s="1" t="s">
        <v>332</v>
      </c>
      <c r="D25" s="20" t="s">
        <v>268</v>
      </c>
      <c r="E25" s="23" t="s">
        <v>19</v>
      </c>
      <c r="F25" s="5">
        <v>1</v>
      </c>
      <c r="G25" s="2" t="s">
        <v>335</v>
      </c>
      <c r="H25" s="24">
        <v>1</v>
      </c>
      <c r="I25" s="32">
        <v>2601.5</v>
      </c>
      <c r="J25" s="2">
        <v>26</v>
      </c>
      <c r="K25" s="2"/>
      <c r="L25" s="1" t="s">
        <v>9</v>
      </c>
    </row>
    <row r="26" spans="1:12">
      <c r="A26" s="1">
        <v>24</v>
      </c>
      <c r="B26" s="37" t="s">
        <v>287</v>
      </c>
      <c r="C26" s="1" t="s">
        <v>332</v>
      </c>
      <c r="D26" s="20" t="s">
        <v>321</v>
      </c>
      <c r="E26" s="23" t="s">
        <v>21</v>
      </c>
      <c r="F26" s="5">
        <v>2</v>
      </c>
      <c r="G26" s="2" t="s">
        <v>305</v>
      </c>
      <c r="H26" s="24">
        <v>104</v>
      </c>
      <c r="I26" s="32">
        <v>2299</v>
      </c>
      <c r="J26" s="2">
        <v>72</v>
      </c>
      <c r="K26" s="2"/>
      <c r="L26" s="1" t="s">
        <v>9</v>
      </c>
    </row>
    <row r="27" spans="1:12">
      <c r="A27" s="1">
        <v>25</v>
      </c>
      <c r="B27" s="37" t="s">
        <v>288</v>
      </c>
      <c r="C27" s="1" t="s">
        <v>332</v>
      </c>
      <c r="D27" s="20" t="s">
        <v>321</v>
      </c>
      <c r="E27" s="23" t="s">
        <v>19</v>
      </c>
      <c r="F27" s="5">
        <v>2</v>
      </c>
      <c r="G27" s="2" t="s">
        <v>305</v>
      </c>
      <c r="H27" s="24">
        <v>4</v>
      </c>
      <c r="I27" s="32">
        <v>2299</v>
      </c>
      <c r="J27" s="2">
        <v>38</v>
      </c>
      <c r="K27" s="2"/>
      <c r="L27" s="1" t="s">
        <v>9</v>
      </c>
    </row>
    <row r="28" spans="1:12">
      <c r="A28" s="1">
        <v>26</v>
      </c>
      <c r="B28" s="37" t="s">
        <v>290</v>
      </c>
      <c r="C28" s="1" t="s">
        <v>332</v>
      </c>
      <c r="D28" s="20" t="s">
        <v>321</v>
      </c>
      <c r="E28" s="23" t="s">
        <v>21</v>
      </c>
      <c r="F28" s="5">
        <v>1</v>
      </c>
      <c r="G28" s="2" t="s">
        <v>89</v>
      </c>
      <c r="H28" s="59">
        <v>64</v>
      </c>
      <c r="I28" s="32">
        <v>2299</v>
      </c>
      <c r="J28" s="2">
        <v>36</v>
      </c>
      <c r="K28" s="2"/>
      <c r="L28" s="1" t="s">
        <v>9</v>
      </c>
    </row>
    <row r="29" spans="1:12">
      <c r="A29" s="1">
        <v>27</v>
      </c>
      <c r="B29" s="37" t="s">
        <v>282</v>
      </c>
      <c r="C29" s="1" t="s">
        <v>332</v>
      </c>
      <c r="D29" s="20" t="s">
        <v>319</v>
      </c>
      <c r="E29" s="23" t="s">
        <v>21</v>
      </c>
      <c r="F29" s="5">
        <v>1</v>
      </c>
      <c r="G29" s="2" t="s">
        <v>301</v>
      </c>
      <c r="H29" s="24">
        <v>4</v>
      </c>
      <c r="I29" s="32">
        <v>2299</v>
      </c>
      <c r="J29" s="2">
        <v>36</v>
      </c>
      <c r="K29" s="2"/>
      <c r="L29" s="1" t="s">
        <v>9</v>
      </c>
    </row>
    <row r="30" spans="1:12">
      <c r="A30" s="1">
        <v>28</v>
      </c>
      <c r="B30" s="37" t="s">
        <v>294</v>
      </c>
      <c r="C30" s="1" t="s">
        <v>332</v>
      </c>
      <c r="D30" s="20" t="s">
        <v>272</v>
      </c>
      <c r="E30" s="23" t="s">
        <v>21</v>
      </c>
      <c r="F30" s="5">
        <v>1</v>
      </c>
      <c r="G30" s="2" t="s">
        <v>251</v>
      </c>
      <c r="H30" s="24">
        <v>6</v>
      </c>
      <c r="I30" s="32">
        <v>2299</v>
      </c>
      <c r="J30" s="2">
        <v>36</v>
      </c>
      <c r="K30" s="2"/>
      <c r="L30" s="1" t="s">
        <v>9</v>
      </c>
    </row>
    <row r="31" spans="1:12">
      <c r="A31" s="1">
        <v>29</v>
      </c>
      <c r="B31" s="37" t="s">
        <v>282</v>
      </c>
      <c r="C31" s="1" t="s">
        <v>332</v>
      </c>
      <c r="D31" s="20" t="s">
        <v>311</v>
      </c>
      <c r="E31" s="23" t="s">
        <v>21</v>
      </c>
      <c r="F31" s="5">
        <v>1</v>
      </c>
      <c r="G31" s="2" t="s">
        <v>301</v>
      </c>
      <c r="H31" s="24">
        <v>1</v>
      </c>
      <c r="I31" s="32">
        <v>2299</v>
      </c>
      <c r="J31" s="2">
        <v>36</v>
      </c>
      <c r="K31" s="2"/>
      <c r="L31" s="1" t="s">
        <v>9</v>
      </c>
    </row>
    <row r="32" spans="1:12">
      <c r="A32" s="1">
        <v>30</v>
      </c>
      <c r="B32" s="37"/>
      <c r="C32" s="1" t="s">
        <v>332</v>
      </c>
      <c r="D32" s="20" t="s">
        <v>311</v>
      </c>
      <c r="E32" s="23" t="s">
        <v>304</v>
      </c>
      <c r="F32" s="5">
        <v>1</v>
      </c>
      <c r="G32" s="2" t="s">
        <v>316</v>
      </c>
      <c r="H32" s="24">
        <v>2</v>
      </c>
      <c r="I32" s="32">
        <v>2299</v>
      </c>
      <c r="J32" s="2"/>
      <c r="K32" s="2" t="s">
        <v>32</v>
      </c>
      <c r="L32" s="1" t="s">
        <v>9</v>
      </c>
    </row>
    <row r="33" spans="1:12">
      <c r="A33" s="1">
        <v>31</v>
      </c>
      <c r="B33" s="37" t="s">
        <v>282</v>
      </c>
      <c r="C33" s="1" t="s">
        <v>332</v>
      </c>
      <c r="D33" s="20" t="s">
        <v>310</v>
      </c>
      <c r="E33" s="23" t="s">
        <v>21</v>
      </c>
      <c r="F33" s="5">
        <v>1</v>
      </c>
      <c r="G33" s="2" t="s">
        <v>301</v>
      </c>
      <c r="H33" s="24">
        <v>1</v>
      </c>
      <c r="I33" s="32">
        <v>2299</v>
      </c>
      <c r="J33" s="2">
        <v>36</v>
      </c>
      <c r="K33" s="2"/>
      <c r="L33" s="1" t="s">
        <v>9</v>
      </c>
    </row>
    <row r="34" spans="1:12">
      <c r="A34" s="1">
        <v>32</v>
      </c>
      <c r="B34" s="37"/>
      <c r="C34" s="1" t="s">
        <v>332</v>
      </c>
      <c r="D34" s="20" t="s">
        <v>310</v>
      </c>
      <c r="E34" s="23" t="s">
        <v>304</v>
      </c>
      <c r="F34" s="5">
        <v>1</v>
      </c>
      <c r="G34" s="1" t="s">
        <v>316</v>
      </c>
      <c r="H34" s="24">
        <v>3</v>
      </c>
      <c r="I34" s="32">
        <v>2299</v>
      </c>
      <c r="J34" s="2"/>
      <c r="K34" s="2" t="s">
        <v>32</v>
      </c>
      <c r="L34" s="1" t="s">
        <v>9</v>
      </c>
    </row>
    <row r="35" spans="1:12">
      <c r="A35" s="1">
        <v>33</v>
      </c>
      <c r="B35" s="37" t="s">
        <v>283</v>
      </c>
      <c r="C35" s="1" t="s">
        <v>332</v>
      </c>
      <c r="D35" s="20" t="s">
        <v>273</v>
      </c>
      <c r="E35" s="23" t="s">
        <v>21</v>
      </c>
      <c r="F35" s="5">
        <v>1</v>
      </c>
      <c r="G35" s="1" t="s">
        <v>302</v>
      </c>
      <c r="H35" s="24">
        <v>3</v>
      </c>
      <c r="I35" s="32">
        <v>2601.5</v>
      </c>
      <c r="J35" s="2">
        <v>36</v>
      </c>
      <c r="K35" s="2"/>
      <c r="L35" s="1" t="s">
        <v>9</v>
      </c>
    </row>
    <row r="36" spans="1:12">
      <c r="A36" s="1">
        <v>34</v>
      </c>
      <c r="B36" s="37" t="s">
        <v>285</v>
      </c>
      <c r="C36" s="1" t="s">
        <v>332</v>
      </c>
      <c r="D36" s="20" t="s">
        <v>274</v>
      </c>
      <c r="E36" s="23" t="s">
        <v>21</v>
      </c>
      <c r="F36" s="5">
        <v>1</v>
      </c>
      <c r="G36" s="2" t="s">
        <v>551</v>
      </c>
      <c r="H36" s="24">
        <v>1</v>
      </c>
      <c r="I36" s="32">
        <v>2601.5</v>
      </c>
      <c r="J36" s="2">
        <v>36</v>
      </c>
      <c r="K36" s="2"/>
      <c r="L36" s="1" t="s">
        <v>9</v>
      </c>
    </row>
    <row r="37" spans="1:12">
      <c r="A37" s="1">
        <v>35</v>
      </c>
      <c r="B37" s="37" t="s">
        <v>286</v>
      </c>
      <c r="C37" s="1" t="s">
        <v>332</v>
      </c>
      <c r="D37" s="20" t="s">
        <v>274</v>
      </c>
      <c r="E37" s="23" t="s">
        <v>21</v>
      </c>
      <c r="F37" s="5">
        <v>1</v>
      </c>
      <c r="G37" s="2" t="s">
        <v>551</v>
      </c>
      <c r="H37" s="24">
        <v>1</v>
      </c>
      <c r="I37" s="32">
        <v>2601.5</v>
      </c>
      <c r="J37" s="2">
        <v>36</v>
      </c>
      <c r="K37" s="2"/>
      <c r="L37" s="1" t="s">
        <v>9</v>
      </c>
    </row>
    <row r="38" spans="1:12">
      <c r="A38" s="1">
        <v>36</v>
      </c>
      <c r="B38" s="37" t="s">
        <v>282</v>
      </c>
      <c r="C38" s="1" t="s">
        <v>332</v>
      </c>
      <c r="D38" s="20" t="s">
        <v>312</v>
      </c>
      <c r="E38" s="23" t="s">
        <v>21</v>
      </c>
      <c r="F38" s="5">
        <v>1</v>
      </c>
      <c r="G38" s="2" t="s">
        <v>301</v>
      </c>
      <c r="H38" s="24">
        <v>1</v>
      </c>
      <c r="I38" s="32">
        <v>2601.5</v>
      </c>
      <c r="J38" s="2">
        <v>36</v>
      </c>
      <c r="K38" s="2"/>
      <c r="L38" s="1" t="s">
        <v>9</v>
      </c>
    </row>
    <row r="39" spans="1:12">
      <c r="A39" s="1">
        <v>37</v>
      </c>
      <c r="B39" s="37" t="s">
        <v>282</v>
      </c>
      <c r="C39" s="1" t="s">
        <v>332</v>
      </c>
      <c r="D39" s="20" t="s">
        <v>313</v>
      </c>
      <c r="E39" s="23" t="s">
        <v>21</v>
      </c>
      <c r="F39" s="5">
        <v>1</v>
      </c>
      <c r="G39" s="2" t="s">
        <v>301</v>
      </c>
      <c r="H39" s="24">
        <v>1</v>
      </c>
      <c r="I39" s="32">
        <v>2299</v>
      </c>
      <c r="J39" s="2">
        <v>36</v>
      </c>
      <c r="K39" s="2"/>
      <c r="L39" s="1" t="s">
        <v>9</v>
      </c>
    </row>
    <row r="40" spans="1:12">
      <c r="A40" s="1">
        <v>38</v>
      </c>
      <c r="B40" s="37" t="s">
        <v>337</v>
      </c>
      <c r="C40" s="1" t="s">
        <v>332</v>
      </c>
      <c r="D40" s="20" t="s">
        <v>61</v>
      </c>
      <c r="E40" s="23" t="s">
        <v>19</v>
      </c>
      <c r="F40" s="5">
        <v>1</v>
      </c>
      <c r="G40" s="2" t="s">
        <v>336</v>
      </c>
      <c r="H40" s="24">
        <v>1</v>
      </c>
      <c r="I40" s="32">
        <v>2299</v>
      </c>
      <c r="J40" s="2">
        <v>26</v>
      </c>
      <c r="K40" s="2"/>
      <c r="L40" s="1" t="s">
        <v>9</v>
      </c>
    </row>
    <row r="41" spans="1:12" s="10" customFormat="1">
      <c r="A41" s="1">
        <v>39</v>
      </c>
      <c r="B41" s="37" t="s">
        <v>287</v>
      </c>
      <c r="C41" s="2" t="s">
        <v>332</v>
      </c>
      <c r="D41" s="20" t="s">
        <v>333</v>
      </c>
      <c r="E41" s="23" t="s">
        <v>21</v>
      </c>
      <c r="F41" s="5">
        <v>2</v>
      </c>
      <c r="G41" s="2" t="s">
        <v>305</v>
      </c>
      <c r="H41" s="43">
        <v>58</v>
      </c>
      <c r="I41" s="32">
        <v>2299</v>
      </c>
      <c r="J41" s="2">
        <v>72</v>
      </c>
      <c r="K41" s="2"/>
      <c r="L41" s="1" t="s">
        <v>9</v>
      </c>
    </row>
    <row r="42" spans="1:12">
      <c r="A42" s="1">
        <v>40</v>
      </c>
      <c r="B42" s="37" t="s">
        <v>288</v>
      </c>
      <c r="C42" s="1" t="s">
        <v>332</v>
      </c>
      <c r="D42" s="20" t="s">
        <v>333</v>
      </c>
      <c r="E42" s="23" t="s">
        <v>19</v>
      </c>
      <c r="F42" s="5">
        <v>2</v>
      </c>
      <c r="G42" s="2" t="s">
        <v>305</v>
      </c>
      <c r="H42" s="24">
        <v>2</v>
      </c>
      <c r="I42" s="32">
        <v>2299</v>
      </c>
      <c r="J42" s="2">
        <v>38</v>
      </c>
      <c r="K42" s="2"/>
      <c r="L42" s="1" t="s">
        <v>9</v>
      </c>
    </row>
    <row r="43" spans="1:12">
      <c r="A43" s="1">
        <v>41</v>
      </c>
      <c r="B43" s="37" t="s">
        <v>290</v>
      </c>
      <c r="C43" s="1" t="s">
        <v>332</v>
      </c>
      <c r="D43" s="20" t="s">
        <v>333</v>
      </c>
      <c r="E43" s="23" t="s">
        <v>21</v>
      </c>
      <c r="F43" s="5">
        <v>1</v>
      </c>
      <c r="G43" s="2" t="s">
        <v>89</v>
      </c>
      <c r="H43" s="24">
        <v>16</v>
      </c>
      <c r="I43" s="32">
        <v>2299</v>
      </c>
      <c r="J43" s="2">
        <v>36</v>
      </c>
      <c r="K43" s="2"/>
      <c r="L43" s="1" t="s">
        <v>9</v>
      </c>
    </row>
    <row r="44" spans="1:12" s="10" customFormat="1">
      <c r="A44" s="1">
        <v>42</v>
      </c>
      <c r="B44" s="48"/>
      <c r="C44" s="2" t="s">
        <v>346</v>
      </c>
      <c r="D44" s="49" t="s">
        <v>388</v>
      </c>
      <c r="E44" s="50" t="s">
        <v>503</v>
      </c>
      <c r="F44" s="5">
        <v>1</v>
      </c>
      <c r="G44" s="2" t="s">
        <v>88</v>
      </c>
      <c r="H44" s="24">
        <v>6</v>
      </c>
      <c r="I44" s="32"/>
      <c r="J44" s="2">
        <v>121</v>
      </c>
      <c r="K44" s="2"/>
      <c r="L44" s="2" t="s">
        <v>9</v>
      </c>
    </row>
    <row r="45" spans="1:12">
      <c r="A45" s="1">
        <v>43</v>
      </c>
      <c r="B45" s="37" t="s">
        <v>287</v>
      </c>
      <c r="C45" s="1" t="s">
        <v>332</v>
      </c>
      <c r="D45" s="20" t="s">
        <v>321</v>
      </c>
      <c r="E45" s="23" t="s">
        <v>21</v>
      </c>
      <c r="F45" s="5">
        <v>2</v>
      </c>
      <c r="G45" s="2" t="s">
        <v>305</v>
      </c>
      <c r="H45" s="24">
        <v>36</v>
      </c>
      <c r="I45" s="32">
        <v>2299</v>
      </c>
      <c r="J45" s="2">
        <v>72</v>
      </c>
      <c r="K45" s="2"/>
      <c r="L45" s="1" t="s">
        <v>9</v>
      </c>
    </row>
    <row r="46" spans="1:12">
      <c r="A46" s="1">
        <v>44</v>
      </c>
      <c r="B46" s="37" t="s">
        <v>288</v>
      </c>
      <c r="C46" s="1" t="s">
        <v>332</v>
      </c>
      <c r="D46" s="20" t="s">
        <v>321</v>
      </c>
      <c r="E46" s="23" t="s">
        <v>19</v>
      </c>
      <c r="F46" s="5">
        <v>2</v>
      </c>
      <c r="G46" s="2" t="s">
        <v>305</v>
      </c>
      <c r="H46" s="24">
        <v>4</v>
      </c>
      <c r="I46" s="32">
        <v>2299</v>
      </c>
      <c r="J46" s="2">
        <v>38</v>
      </c>
      <c r="K46" s="2"/>
      <c r="L46" s="1" t="s">
        <v>9</v>
      </c>
    </row>
    <row r="47" spans="1:12">
      <c r="A47" s="1">
        <v>45</v>
      </c>
      <c r="B47" s="37" t="s">
        <v>290</v>
      </c>
      <c r="C47" s="1" t="s">
        <v>332</v>
      </c>
      <c r="D47" s="20" t="s">
        <v>321</v>
      </c>
      <c r="E47" s="23" t="s">
        <v>21</v>
      </c>
      <c r="F47" s="5">
        <v>1</v>
      </c>
      <c r="G47" s="2" t="s">
        <v>89</v>
      </c>
      <c r="H47" s="24">
        <v>26</v>
      </c>
      <c r="I47" s="32">
        <v>2299</v>
      </c>
      <c r="J47" s="2">
        <v>36</v>
      </c>
      <c r="K47" s="2"/>
      <c r="L47" s="1" t="s">
        <v>9</v>
      </c>
    </row>
    <row r="48" spans="1:12" s="10" customFormat="1">
      <c r="A48" s="1">
        <v>46</v>
      </c>
      <c r="B48" s="48"/>
      <c r="C48" s="2" t="s">
        <v>346</v>
      </c>
      <c r="D48" s="49" t="s">
        <v>387</v>
      </c>
      <c r="E48" s="50" t="s">
        <v>503</v>
      </c>
      <c r="F48" s="5">
        <v>1</v>
      </c>
      <c r="G48" s="2" t="s">
        <v>88</v>
      </c>
      <c r="H48" s="24">
        <v>4</v>
      </c>
      <c r="I48" s="32"/>
      <c r="J48" s="2">
        <v>121</v>
      </c>
      <c r="K48" s="2"/>
      <c r="L48" s="2" t="s">
        <v>9</v>
      </c>
    </row>
    <row r="49" spans="1:12">
      <c r="A49" s="1">
        <v>47</v>
      </c>
      <c r="B49" s="37"/>
      <c r="C49" s="1" t="s">
        <v>332</v>
      </c>
      <c r="D49" s="20" t="s">
        <v>334</v>
      </c>
      <c r="E49" s="23" t="s">
        <v>125</v>
      </c>
      <c r="F49" s="4">
        <v>1</v>
      </c>
      <c r="G49" s="2" t="s">
        <v>340</v>
      </c>
      <c r="H49" s="24">
        <v>58</v>
      </c>
      <c r="I49" s="32">
        <v>2299</v>
      </c>
      <c r="J49" s="1">
        <v>100</v>
      </c>
      <c r="K49" s="2" t="s">
        <v>598</v>
      </c>
      <c r="L49" s="1" t="s">
        <v>9</v>
      </c>
    </row>
    <row r="50" spans="1:12">
      <c r="A50" s="1">
        <v>48</v>
      </c>
      <c r="B50" s="37" t="s">
        <v>282</v>
      </c>
      <c r="C50" s="1" t="s">
        <v>332</v>
      </c>
      <c r="D50" s="20" t="s">
        <v>314</v>
      </c>
      <c r="E50" s="23" t="s">
        <v>21</v>
      </c>
      <c r="F50" s="4">
        <v>1</v>
      </c>
      <c r="G50" s="1" t="s">
        <v>301</v>
      </c>
      <c r="H50" s="24">
        <v>2</v>
      </c>
      <c r="I50" s="32">
        <v>2299</v>
      </c>
      <c r="J50" s="1">
        <v>36</v>
      </c>
      <c r="K50" s="1"/>
      <c r="L50" s="1" t="s">
        <v>9</v>
      </c>
    </row>
    <row r="51" spans="1:12">
      <c r="A51" s="1">
        <v>49</v>
      </c>
      <c r="B51" s="37" t="s">
        <v>291</v>
      </c>
      <c r="C51" s="1" t="s">
        <v>332</v>
      </c>
      <c r="D51" s="20" t="s">
        <v>64</v>
      </c>
      <c r="E51" s="23" t="s">
        <v>21</v>
      </c>
      <c r="F51" s="5">
        <v>1</v>
      </c>
      <c r="G51" s="2" t="s">
        <v>253</v>
      </c>
      <c r="H51" s="24">
        <v>1</v>
      </c>
      <c r="I51" s="32">
        <v>2299</v>
      </c>
      <c r="J51" s="2">
        <v>36</v>
      </c>
      <c r="K51" s="2"/>
      <c r="L51" s="1" t="s">
        <v>9</v>
      </c>
    </row>
    <row r="52" spans="1:12">
      <c r="A52" s="1">
        <v>50</v>
      </c>
      <c r="B52" s="37" t="s">
        <v>285</v>
      </c>
      <c r="C52" s="1" t="s">
        <v>332</v>
      </c>
      <c r="D52" s="20" t="s">
        <v>279</v>
      </c>
      <c r="E52" s="23" t="s">
        <v>21</v>
      </c>
      <c r="F52" s="4">
        <v>1</v>
      </c>
      <c r="G52" s="1" t="s">
        <v>551</v>
      </c>
      <c r="H52" s="24">
        <v>1</v>
      </c>
      <c r="I52" s="32">
        <v>2601.5</v>
      </c>
      <c r="J52" s="1">
        <v>36</v>
      </c>
      <c r="K52" s="1"/>
      <c r="L52" s="1" t="s">
        <v>9</v>
      </c>
    </row>
    <row r="53" spans="1:12">
      <c r="A53" s="1">
        <v>51</v>
      </c>
      <c r="B53" s="37" t="s">
        <v>286</v>
      </c>
      <c r="C53" s="1" t="s">
        <v>332</v>
      </c>
      <c r="D53" s="20" t="s">
        <v>279</v>
      </c>
      <c r="E53" s="23" t="s">
        <v>21</v>
      </c>
      <c r="F53" s="5">
        <v>1</v>
      </c>
      <c r="G53" s="1" t="s">
        <v>551</v>
      </c>
      <c r="H53" s="24">
        <v>1</v>
      </c>
      <c r="I53" s="32">
        <v>2601.5</v>
      </c>
      <c r="J53" s="1">
        <v>36</v>
      </c>
      <c r="K53" s="1"/>
      <c r="L53" s="1" t="s">
        <v>9</v>
      </c>
    </row>
    <row r="54" spans="1:12">
      <c r="A54" s="1">
        <v>52</v>
      </c>
      <c r="B54" s="37" t="s">
        <v>292</v>
      </c>
      <c r="C54" s="1" t="s">
        <v>332</v>
      </c>
      <c r="D54" s="20" t="s">
        <v>278</v>
      </c>
      <c r="E54" s="23" t="s">
        <v>19</v>
      </c>
      <c r="F54" s="5">
        <v>1</v>
      </c>
      <c r="G54" s="1" t="s">
        <v>307</v>
      </c>
      <c r="H54" s="24">
        <v>1</v>
      </c>
      <c r="I54" s="32">
        <v>2601.5</v>
      </c>
      <c r="J54" s="1">
        <v>26</v>
      </c>
      <c r="K54" s="1"/>
      <c r="L54" s="1" t="s">
        <v>9</v>
      </c>
    </row>
    <row r="55" spans="1:12">
      <c r="A55" s="1">
        <v>53</v>
      </c>
      <c r="B55" s="37" t="s">
        <v>283</v>
      </c>
      <c r="C55" s="1" t="s">
        <v>332</v>
      </c>
      <c r="D55" s="20" t="s">
        <v>65</v>
      </c>
      <c r="E55" s="23" t="s">
        <v>21</v>
      </c>
      <c r="F55" s="4">
        <v>1</v>
      </c>
      <c r="G55" s="1" t="s">
        <v>302</v>
      </c>
      <c r="H55" s="24">
        <v>2</v>
      </c>
      <c r="I55" s="32">
        <v>2299</v>
      </c>
      <c r="J55" s="1">
        <v>36</v>
      </c>
      <c r="K55" s="1"/>
      <c r="L55" s="1" t="s">
        <v>9</v>
      </c>
    </row>
    <row r="56" spans="1:12" s="10" customFormat="1">
      <c r="A56" s="1">
        <v>54</v>
      </c>
      <c r="B56" s="48"/>
      <c r="C56" s="2" t="s">
        <v>346</v>
      </c>
      <c r="D56" s="49" t="s">
        <v>65</v>
      </c>
      <c r="E56" s="50" t="s">
        <v>72</v>
      </c>
      <c r="F56" s="5">
        <v>1</v>
      </c>
      <c r="G56" s="2" t="s">
        <v>73</v>
      </c>
      <c r="H56" s="24">
        <v>1</v>
      </c>
      <c r="I56" s="32"/>
      <c r="J56" s="2">
        <v>60</v>
      </c>
      <c r="K56" s="2"/>
      <c r="L56" s="2" t="s">
        <v>9</v>
      </c>
    </row>
    <row r="57" spans="1:12">
      <c r="A57" s="1">
        <v>55</v>
      </c>
      <c r="B57" s="37" t="s">
        <v>287</v>
      </c>
      <c r="C57" s="1" t="s">
        <v>332</v>
      </c>
      <c r="D57" s="20" t="s">
        <v>333</v>
      </c>
      <c r="E57" s="23" t="s">
        <v>21</v>
      </c>
      <c r="F57" s="5">
        <v>2</v>
      </c>
      <c r="G57" s="2" t="s">
        <v>305</v>
      </c>
      <c r="H57" s="24">
        <v>120</v>
      </c>
      <c r="I57" s="32">
        <v>2299</v>
      </c>
      <c r="J57" s="1">
        <v>72</v>
      </c>
      <c r="K57" s="1"/>
      <c r="L57" s="1" t="s">
        <v>9</v>
      </c>
    </row>
    <row r="58" spans="1:12">
      <c r="A58" s="1">
        <v>56</v>
      </c>
      <c r="B58" s="37" t="s">
        <v>290</v>
      </c>
      <c r="C58" s="1" t="s">
        <v>332</v>
      </c>
      <c r="D58" s="20" t="s">
        <v>333</v>
      </c>
      <c r="E58" s="23" t="s">
        <v>21</v>
      </c>
      <c r="F58" s="4">
        <v>1</v>
      </c>
      <c r="G58" s="1" t="s">
        <v>89</v>
      </c>
      <c r="H58" s="24">
        <v>58</v>
      </c>
      <c r="I58" s="32">
        <v>2299</v>
      </c>
      <c r="J58" s="1">
        <v>36</v>
      </c>
      <c r="K58" s="1"/>
      <c r="L58" s="1" t="s">
        <v>9</v>
      </c>
    </row>
    <row r="59" spans="1:12">
      <c r="A59" s="7"/>
      <c r="B59" s="21"/>
      <c r="C59" s="7"/>
      <c r="D59" s="21"/>
      <c r="E59" s="22"/>
      <c r="F59" s="9"/>
      <c r="G59" s="6"/>
      <c r="H59" s="44">
        <f>SUM(H3:H58)</f>
        <v>705</v>
      </c>
      <c r="I59" s="21"/>
      <c r="J59" s="7"/>
      <c r="K59" s="7"/>
      <c r="L59" s="7"/>
    </row>
    <row r="60" spans="1:12">
      <c r="A60" s="7"/>
      <c r="B60" s="21"/>
      <c r="C60" s="7"/>
      <c r="D60" s="21"/>
      <c r="E60" s="22"/>
      <c r="F60" s="9"/>
      <c r="G60" s="6"/>
      <c r="H60" s="22"/>
      <c r="I60" s="21"/>
      <c r="J60" s="7"/>
      <c r="K60" s="7"/>
      <c r="L60" s="7"/>
    </row>
    <row r="61" spans="1:12">
      <c r="A61" t="s">
        <v>77</v>
      </c>
      <c r="B61" s="39"/>
      <c r="C61" s="38"/>
    </row>
    <row r="62" spans="1:12">
      <c r="A62" s="1">
        <v>55</v>
      </c>
      <c r="B62" s="29" t="s">
        <v>67</v>
      </c>
      <c r="C62" s="2" t="s">
        <v>332</v>
      </c>
      <c r="D62" s="29" t="s">
        <v>57</v>
      </c>
      <c r="E62" s="19" t="s">
        <v>97</v>
      </c>
      <c r="F62" s="4">
        <v>1</v>
      </c>
      <c r="G62" s="1" t="s">
        <v>594</v>
      </c>
      <c r="H62" s="19">
        <v>1</v>
      </c>
      <c r="I62" s="29">
        <v>8760</v>
      </c>
      <c r="J62" s="1">
        <v>4</v>
      </c>
      <c r="K62" s="1"/>
      <c r="L62" s="1" t="s">
        <v>350</v>
      </c>
    </row>
    <row r="63" spans="1:12">
      <c r="A63" s="1">
        <v>56</v>
      </c>
      <c r="B63" s="29" t="s">
        <v>69</v>
      </c>
      <c r="C63" s="2" t="s">
        <v>332</v>
      </c>
      <c r="D63" s="29" t="s">
        <v>39</v>
      </c>
      <c r="E63" s="19" t="s">
        <v>97</v>
      </c>
      <c r="F63" s="4">
        <v>1</v>
      </c>
      <c r="G63" s="1" t="s">
        <v>594</v>
      </c>
      <c r="H63" s="19">
        <v>1</v>
      </c>
      <c r="I63" s="29">
        <v>8760</v>
      </c>
      <c r="J63" s="1">
        <v>4</v>
      </c>
      <c r="K63" s="1"/>
      <c r="L63" s="1" t="s">
        <v>349</v>
      </c>
    </row>
    <row r="64" spans="1:12">
      <c r="A64" s="1">
        <v>57</v>
      </c>
      <c r="B64" s="29" t="s">
        <v>67</v>
      </c>
      <c r="C64" s="2" t="s">
        <v>332</v>
      </c>
      <c r="D64" s="29" t="s">
        <v>45</v>
      </c>
      <c r="E64" s="19" t="s">
        <v>97</v>
      </c>
      <c r="F64" s="4">
        <v>1</v>
      </c>
      <c r="G64" s="1" t="s">
        <v>594</v>
      </c>
      <c r="H64" s="19">
        <v>1</v>
      </c>
      <c r="I64" s="29">
        <v>8760</v>
      </c>
      <c r="J64" s="1">
        <v>4</v>
      </c>
      <c r="K64" s="1"/>
      <c r="L64" s="1" t="s">
        <v>350</v>
      </c>
    </row>
    <row r="65" spans="1:12">
      <c r="A65" s="1">
        <v>58</v>
      </c>
      <c r="B65" s="29" t="s">
        <v>68</v>
      </c>
      <c r="C65" s="2" t="s">
        <v>332</v>
      </c>
      <c r="D65" s="29" t="s">
        <v>45</v>
      </c>
      <c r="E65" s="19" t="s">
        <v>98</v>
      </c>
      <c r="F65" s="4">
        <v>1</v>
      </c>
      <c r="G65" s="1" t="s">
        <v>594</v>
      </c>
      <c r="H65" s="19">
        <v>1</v>
      </c>
      <c r="I65" s="29">
        <v>8760</v>
      </c>
      <c r="J65" s="1">
        <v>4</v>
      </c>
      <c r="K65" s="1"/>
      <c r="L65" s="1" t="s">
        <v>349</v>
      </c>
    </row>
    <row r="66" spans="1:12">
      <c r="A66" s="1">
        <v>59</v>
      </c>
      <c r="B66" s="29" t="s">
        <v>67</v>
      </c>
      <c r="C66" s="2" t="s">
        <v>332</v>
      </c>
      <c r="D66" s="29" t="s">
        <v>65</v>
      </c>
      <c r="E66" s="19" t="s">
        <v>97</v>
      </c>
      <c r="F66" s="4">
        <v>1</v>
      </c>
      <c r="G66" s="1" t="s">
        <v>594</v>
      </c>
      <c r="H66" s="19">
        <v>1</v>
      </c>
      <c r="I66" s="29">
        <v>8760</v>
      </c>
      <c r="J66" s="1">
        <v>4</v>
      </c>
      <c r="K66" s="1"/>
      <c r="L66" s="1" t="s">
        <v>350</v>
      </c>
    </row>
    <row r="67" spans="1:12">
      <c r="A67" s="1">
        <v>60</v>
      </c>
      <c r="B67" s="29" t="s">
        <v>69</v>
      </c>
      <c r="C67" s="2" t="s">
        <v>332</v>
      </c>
      <c r="D67" s="29" t="s">
        <v>49</v>
      </c>
      <c r="E67" s="19" t="s">
        <v>97</v>
      </c>
      <c r="F67" s="4">
        <v>1</v>
      </c>
      <c r="G67" s="1" t="s">
        <v>594</v>
      </c>
      <c r="H67" s="19">
        <v>1</v>
      </c>
      <c r="I67" s="29">
        <v>8760</v>
      </c>
      <c r="J67" s="1">
        <v>4</v>
      </c>
      <c r="K67" s="1"/>
      <c r="L67" s="1" t="s">
        <v>349</v>
      </c>
    </row>
    <row r="68" spans="1:12">
      <c r="A68" s="1">
        <v>61</v>
      </c>
      <c r="B68" s="29" t="s">
        <v>67</v>
      </c>
      <c r="C68" s="2" t="s">
        <v>332</v>
      </c>
      <c r="D68" s="29" t="s">
        <v>23</v>
      </c>
      <c r="E68" s="19" t="s">
        <v>97</v>
      </c>
      <c r="F68" s="4">
        <v>1</v>
      </c>
      <c r="G68" s="1" t="s">
        <v>594</v>
      </c>
      <c r="H68" s="19">
        <v>1</v>
      </c>
      <c r="I68" s="29">
        <v>8760</v>
      </c>
      <c r="J68" s="1">
        <v>4</v>
      </c>
      <c r="K68" s="1"/>
      <c r="L68" s="1" t="s">
        <v>350</v>
      </c>
    </row>
    <row r="69" spans="1:12">
      <c r="A69" s="1">
        <v>62</v>
      </c>
      <c r="B69" s="29" t="s">
        <v>68</v>
      </c>
      <c r="C69" s="2" t="s">
        <v>332</v>
      </c>
      <c r="D69" s="29" t="s">
        <v>23</v>
      </c>
      <c r="E69" s="19" t="s">
        <v>98</v>
      </c>
      <c r="F69" s="4">
        <v>1</v>
      </c>
      <c r="G69" s="1" t="s">
        <v>594</v>
      </c>
      <c r="H69" s="19">
        <v>1</v>
      </c>
      <c r="I69" s="29">
        <v>8760</v>
      </c>
      <c r="J69" s="1">
        <v>4</v>
      </c>
      <c r="K69" s="1"/>
      <c r="L69" s="1" t="s">
        <v>349</v>
      </c>
    </row>
    <row r="70" spans="1:12">
      <c r="A70" s="1">
        <v>63</v>
      </c>
      <c r="B70" s="19" t="s">
        <v>68</v>
      </c>
      <c r="C70" s="1" t="s">
        <v>332</v>
      </c>
      <c r="D70" s="19" t="s">
        <v>11</v>
      </c>
      <c r="E70" s="19" t="s">
        <v>98</v>
      </c>
      <c r="F70" s="4">
        <v>1</v>
      </c>
      <c r="G70" s="1" t="s">
        <v>594</v>
      </c>
      <c r="H70" s="19">
        <v>2</v>
      </c>
      <c r="I70" s="29">
        <v>8760</v>
      </c>
      <c r="J70" s="1">
        <v>4</v>
      </c>
      <c r="K70" s="1"/>
      <c r="L70" s="1" t="s">
        <v>350</v>
      </c>
    </row>
    <row r="71" spans="1:12">
      <c r="A71" s="1">
        <v>64</v>
      </c>
      <c r="B71" s="29" t="s">
        <v>69</v>
      </c>
      <c r="C71" s="1" t="s">
        <v>332</v>
      </c>
      <c r="D71" s="29" t="s">
        <v>11</v>
      </c>
      <c r="E71" s="19" t="s">
        <v>97</v>
      </c>
      <c r="F71" s="4">
        <v>1</v>
      </c>
      <c r="G71" s="1" t="s">
        <v>594</v>
      </c>
      <c r="H71" s="29">
        <v>3</v>
      </c>
      <c r="I71" s="29">
        <v>8760</v>
      </c>
      <c r="J71" s="1">
        <v>4</v>
      </c>
      <c r="K71" s="1"/>
      <c r="L71" s="1" t="s">
        <v>349</v>
      </c>
    </row>
    <row r="72" spans="1:12">
      <c r="A72" s="1">
        <v>65</v>
      </c>
      <c r="B72" s="29" t="s">
        <v>341</v>
      </c>
      <c r="C72" s="1" t="s">
        <v>332</v>
      </c>
      <c r="D72" s="29" t="s">
        <v>11</v>
      </c>
      <c r="E72" s="19" t="s">
        <v>97</v>
      </c>
      <c r="F72" s="4">
        <v>1</v>
      </c>
      <c r="G72" s="1" t="s">
        <v>594</v>
      </c>
      <c r="H72" s="29">
        <v>4</v>
      </c>
      <c r="I72" s="29">
        <v>8760</v>
      </c>
      <c r="J72" s="1">
        <v>4</v>
      </c>
      <c r="K72" s="1"/>
      <c r="L72" s="1" t="s">
        <v>350</v>
      </c>
    </row>
    <row r="73" spans="1:12">
      <c r="A73" s="7"/>
      <c r="C73" s="7"/>
      <c r="D73" s="22"/>
      <c r="E73" s="22"/>
      <c r="F73" s="8"/>
      <c r="G73" s="7"/>
      <c r="H73" s="22">
        <f>SUM(H62:H72)</f>
        <v>17</v>
      </c>
      <c r="I73" s="21"/>
      <c r="J73" s="7"/>
      <c r="K73" s="7"/>
      <c r="L73" s="7"/>
    </row>
    <row r="75" spans="1:12" ht="17.25" customHeight="1">
      <c r="A75" t="s">
        <v>70</v>
      </c>
    </row>
    <row r="76" spans="1:12">
      <c r="A76" s="1">
        <v>66</v>
      </c>
      <c r="B76" s="19"/>
      <c r="C76" s="1" t="s">
        <v>332</v>
      </c>
      <c r="D76" s="19" t="s">
        <v>71</v>
      </c>
      <c r="E76" s="19" t="s">
        <v>72</v>
      </c>
      <c r="F76" s="4">
        <v>1</v>
      </c>
      <c r="G76" s="19" t="s">
        <v>585</v>
      </c>
      <c r="H76" s="19">
        <v>100</v>
      </c>
      <c r="I76" s="29">
        <v>0</v>
      </c>
      <c r="J76" s="1">
        <v>60</v>
      </c>
      <c r="K76" s="1"/>
      <c r="L76" s="1" t="s">
        <v>350</v>
      </c>
    </row>
    <row r="77" spans="1:12">
      <c r="C77" s="18"/>
      <c r="F77" s="18"/>
      <c r="G77" s="18"/>
      <c r="H77" s="18">
        <f>SUM(H76:H76)</f>
        <v>100</v>
      </c>
      <c r="J77" s="11"/>
      <c r="K77" s="18"/>
    </row>
  </sheetData>
  <phoneticPr fontId="2"/>
  <dataValidations count="1">
    <dataValidation allowBlank="1" showInputMessage="1" showErrorMessage="1" sqref="D3:E58" xr:uid="{65E0C4BE-3E89-45EA-9547-3508E0773280}"/>
  </dataValidations>
  <pageMargins left="0.7" right="0.7" top="0.75" bottom="0.75" header="0.3" footer="0.3"/>
  <pageSetup paperSize="8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1832-5DDF-45A3-BA6E-6DCB47F992E3}">
  <sheetPr>
    <pageSetUpPr fitToPage="1"/>
  </sheetPr>
  <dimension ref="A1:L78"/>
  <sheetViews>
    <sheetView topLeftCell="A70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customWidth="1"/>
    <col min="4" max="4" width="23" style="18" bestFit="1" customWidth="1"/>
    <col min="5" max="5" width="21.375" style="18" bestFit="1" customWidth="1"/>
    <col min="6" max="6" width="4.8125" style="11" bestFit="1" customWidth="1"/>
    <col min="7" max="7" width="23.9375" style="11" customWidth="1"/>
    <col min="8" max="8" width="5.1875" style="18" bestFit="1" customWidth="1"/>
    <col min="9" max="9" width="12.9375" style="31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" t="s">
        <v>1</v>
      </c>
      <c r="D2" s="19" t="s">
        <v>13</v>
      </c>
      <c r="E2" s="19" t="s">
        <v>2</v>
      </c>
      <c r="F2" s="12" t="s">
        <v>3</v>
      </c>
      <c r="G2" s="12" t="s">
        <v>6</v>
      </c>
      <c r="H2" s="19" t="s">
        <v>4</v>
      </c>
      <c r="I2" s="29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37" t="s">
        <v>282</v>
      </c>
      <c r="C3" s="1" t="s">
        <v>318</v>
      </c>
      <c r="D3" s="20" t="s">
        <v>297</v>
      </c>
      <c r="E3" s="23" t="s">
        <v>21</v>
      </c>
      <c r="F3" s="33">
        <v>1</v>
      </c>
      <c r="G3" s="12" t="s">
        <v>301</v>
      </c>
      <c r="H3" s="24">
        <v>1</v>
      </c>
      <c r="I3" s="32">
        <v>2299</v>
      </c>
      <c r="J3" s="1">
        <v>36</v>
      </c>
      <c r="K3" s="1"/>
      <c r="L3" s="1" t="s">
        <v>9</v>
      </c>
    </row>
    <row r="4" spans="1:12">
      <c r="A4" s="1">
        <v>2</v>
      </c>
      <c r="B4" s="37" t="s">
        <v>282</v>
      </c>
      <c r="C4" s="1" t="s">
        <v>318</v>
      </c>
      <c r="D4" s="20" t="s">
        <v>298</v>
      </c>
      <c r="E4" s="23" t="s">
        <v>21</v>
      </c>
      <c r="F4" s="33">
        <v>1</v>
      </c>
      <c r="G4" s="12" t="s">
        <v>301</v>
      </c>
      <c r="H4" s="24">
        <v>1</v>
      </c>
      <c r="I4" s="32">
        <v>2601.5</v>
      </c>
      <c r="J4" s="1">
        <v>36</v>
      </c>
      <c r="K4" s="1"/>
      <c r="L4" s="1" t="s">
        <v>9</v>
      </c>
    </row>
    <row r="5" spans="1:12">
      <c r="A5" s="1">
        <v>3</v>
      </c>
      <c r="B5" s="37" t="s">
        <v>284</v>
      </c>
      <c r="C5" s="1" t="s">
        <v>318</v>
      </c>
      <c r="D5" s="20" t="s">
        <v>174</v>
      </c>
      <c r="E5" s="23" t="s">
        <v>19</v>
      </c>
      <c r="F5" s="33">
        <v>1</v>
      </c>
      <c r="G5" s="12" t="s">
        <v>303</v>
      </c>
      <c r="H5" s="24">
        <v>1</v>
      </c>
      <c r="I5" s="32">
        <v>2299</v>
      </c>
      <c r="J5" s="1">
        <v>26</v>
      </c>
      <c r="K5" s="1"/>
      <c r="L5" s="1" t="s">
        <v>9</v>
      </c>
    </row>
    <row r="6" spans="1:12">
      <c r="A6" s="1">
        <v>4</v>
      </c>
      <c r="B6" s="37" t="s">
        <v>285</v>
      </c>
      <c r="C6" s="1" t="s">
        <v>318</v>
      </c>
      <c r="D6" s="20" t="s">
        <v>262</v>
      </c>
      <c r="E6" s="23" t="s">
        <v>21</v>
      </c>
      <c r="F6" s="33">
        <v>1</v>
      </c>
      <c r="G6" s="12" t="s">
        <v>552</v>
      </c>
      <c r="H6" s="24">
        <v>1</v>
      </c>
      <c r="I6" s="32">
        <v>2601.5</v>
      </c>
      <c r="J6" s="1">
        <v>36</v>
      </c>
      <c r="K6" s="1"/>
      <c r="L6" s="1" t="s">
        <v>9</v>
      </c>
    </row>
    <row r="7" spans="1:12">
      <c r="A7" s="1">
        <v>5</v>
      </c>
      <c r="B7" s="37" t="s">
        <v>286</v>
      </c>
      <c r="C7" s="1" t="s">
        <v>318</v>
      </c>
      <c r="D7" s="20" t="s">
        <v>262</v>
      </c>
      <c r="E7" s="23" t="s">
        <v>21</v>
      </c>
      <c r="F7" s="33">
        <v>1</v>
      </c>
      <c r="G7" s="12" t="s">
        <v>552</v>
      </c>
      <c r="H7" s="24">
        <v>1</v>
      </c>
      <c r="I7" s="32">
        <v>2601.5</v>
      </c>
      <c r="J7" s="1">
        <v>36</v>
      </c>
      <c r="K7" s="1"/>
      <c r="L7" s="1" t="s">
        <v>9</v>
      </c>
    </row>
    <row r="8" spans="1:12">
      <c r="A8" s="1">
        <v>6</v>
      </c>
      <c r="B8" s="37" t="s">
        <v>283</v>
      </c>
      <c r="C8" s="1" t="s">
        <v>318</v>
      </c>
      <c r="D8" s="20" t="s">
        <v>261</v>
      </c>
      <c r="E8" s="23" t="s">
        <v>21</v>
      </c>
      <c r="F8" s="33">
        <v>1</v>
      </c>
      <c r="G8" s="12" t="s">
        <v>302</v>
      </c>
      <c r="H8" s="24">
        <v>3</v>
      </c>
      <c r="I8" s="32">
        <v>2601.5</v>
      </c>
      <c r="J8" s="1">
        <v>36</v>
      </c>
      <c r="K8" s="1"/>
      <c r="L8" s="1" t="s">
        <v>9</v>
      </c>
    </row>
    <row r="9" spans="1:12">
      <c r="A9" s="1">
        <v>7</v>
      </c>
      <c r="B9" s="37" t="s">
        <v>282</v>
      </c>
      <c r="C9" s="1" t="s">
        <v>318</v>
      </c>
      <c r="D9" s="20" t="s">
        <v>299</v>
      </c>
      <c r="E9" s="23" t="s">
        <v>21</v>
      </c>
      <c r="F9" s="33">
        <v>1</v>
      </c>
      <c r="G9" s="29" t="s">
        <v>301</v>
      </c>
      <c r="H9" s="24">
        <v>1</v>
      </c>
      <c r="I9" s="32">
        <v>2299</v>
      </c>
      <c r="J9" s="1">
        <v>36</v>
      </c>
      <c r="K9" s="2"/>
      <c r="L9" s="1" t="s">
        <v>9</v>
      </c>
    </row>
    <row r="10" spans="1:12">
      <c r="A10" s="1">
        <v>8</v>
      </c>
      <c r="B10" s="37"/>
      <c r="C10" s="1" t="s">
        <v>318</v>
      </c>
      <c r="D10" s="20" t="s">
        <v>299</v>
      </c>
      <c r="E10" s="23" t="s">
        <v>304</v>
      </c>
      <c r="F10" s="34">
        <v>1</v>
      </c>
      <c r="G10" s="12" t="s">
        <v>316</v>
      </c>
      <c r="H10" s="24">
        <v>3</v>
      </c>
      <c r="I10" s="32">
        <v>2299</v>
      </c>
      <c r="J10" s="2"/>
      <c r="K10" s="2" t="s">
        <v>32</v>
      </c>
      <c r="L10" s="1" t="s">
        <v>9</v>
      </c>
    </row>
    <row r="11" spans="1:12">
      <c r="A11" s="1">
        <v>9</v>
      </c>
      <c r="B11" s="37" t="s">
        <v>282</v>
      </c>
      <c r="C11" s="1" t="s">
        <v>318</v>
      </c>
      <c r="D11" s="20" t="s">
        <v>300</v>
      </c>
      <c r="E11" s="23" t="s">
        <v>21</v>
      </c>
      <c r="F11" s="34">
        <v>1</v>
      </c>
      <c r="G11" s="29" t="s">
        <v>301</v>
      </c>
      <c r="H11" s="24">
        <v>1</v>
      </c>
      <c r="I11" s="32">
        <v>2299</v>
      </c>
      <c r="J11" s="2">
        <v>36</v>
      </c>
      <c r="K11" s="2"/>
      <c r="L11" s="1" t="s">
        <v>9</v>
      </c>
    </row>
    <row r="12" spans="1:12">
      <c r="A12" s="1">
        <v>10</v>
      </c>
      <c r="B12" s="37"/>
      <c r="C12" s="1" t="s">
        <v>318</v>
      </c>
      <c r="D12" s="20" t="s">
        <v>300</v>
      </c>
      <c r="E12" s="23" t="s">
        <v>304</v>
      </c>
      <c r="F12" s="34">
        <v>1</v>
      </c>
      <c r="G12" s="29" t="s">
        <v>316</v>
      </c>
      <c r="H12" s="24">
        <v>2</v>
      </c>
      <c r="I12" s="32">
        <v>2299</v>
      </c>
      <c r="J12" s="2"/>
      <c r="K12" s="2" t="s">
        <v>32</v>
      </c>
      <c r="L12" s="1" t="s">
        <v>9</v>
      </c>
    </row>
    <row r="13" spans="1:12">
      <c r="A13" s="1">
        <v>11</v>
      </c>
      <c r="B13" s="37" t="s">
        <v>287</v>
      </c>
      <c r="C13" s="1" t="s">
        <v>318</v>
      </c>
      <c r="D13" s="20" t="s">
        <v>325</v>
      </c>
      <c r="E13" s="23" t="s">
        <v>21</v>
      </c>
      <c r="F13" s="34">
        <v>2</v>
      </c>
      <c r="G13" s="29" t="s">
        <v>305</v>
      </c>
      <c r="H13" s="24">
        <v>44</v>
      </c>
      <c r="I13" s="32">
        <v>2299</v>
      </c>
      <c r="J13" s="2">
        <v>72</v>
      </c>
      <c r="K13" s="2"/>
      <c r="L13" s="1" t="s">
        <v>9</v>
      </c>
    </row>
    <row r="14" spans="1:12">
      <c r="A14" s="1">
        <v>12</v>
      </c>
      <c r="B14" s="37" t="s">
        <v>289</v>
      </c>
      <c r="C14" s="1" t="s">
        <v>318</v>
      </c>
      <c r="D14" s="20" t="s">
        <v>265</v>
      </c>
      <c r="E14" s="23" t="s">
        <v>21</v>
      </c>
      <c r="F14" s="34">
        <v>1</v>
      </c>
      <c r="G14" s="29" t="s">
        <v>89</v>
      </c>
      <c r="H14" s="24">
        <v>4</v>
      </c>
      <c r="I14" s="32">
        <v>2299</v>
      </c>
      <c r="J14" s="2">
        <v>36</v>
      </c>
      <c r="K14" s="2"/>
      <c r="L14" s="1" t="s">
        <v>9</v>
      </c>
    </row>
    <row r="15" spans="1:12">
      <c r="A15" s="1">
        <v>13</v>
      </c>
      <c r="B15" s="37"/>
      <c r="C15" s="1" t="s">
        <v>318</v>
      </c>
      <c r="D15" s="20" t="s">
        <v>265</v>
      </c>
      <c r="E15" s="23" t="s">
        <v>72</v>
      </c>
      <c r="F15" s="34">
        <v>1</v>
      </c>
      <c r="G15" s="29" t="s">
        <v>73</v>
      </c>
      <c r="H15" s="24">
        <v>5</v>
      </c>
      <c r="I15" s="32"/>
      <c r="J15" s="2">
        <v>60</v>
      </c>
      <c r="K15" s="2"/>
      <c r="L15" s="1" t="s">
        <v>9</v>
      </c>
    </row>
    <row r="16" spans="1:12">
      <c r="A16" s="1">
        <v>14</v>
      </c>
      <c r="B16" s="37" t="s">
        <v>289</v>
      </c>
      <c r="C16" s="1" t="s">
        <v>318</v>
      </c>
      <c r="D16" s="20" t="s">
        <v>266</v>
      </c>
      <c r="E16" s="23" t="s">
        <v>21</v>
      </c>
      <c r="F16" s="34">
        <v>1</v>
      </c>
      <c r="G16" s="29" t="s">
        <v>89</v>
      </c>
      <c r="H16" s="24">
        <v>77</v>
      </c>
      <c r="I16" s="32">
        <v>2601.5</v>
      </c>
      <c r="J16" s="2">
        <v>36</v>
      </c>
      <c r="K16" s="2"/>
      <c r="L16" s="1" t="s">
        <v>9</v>
      </c>
    </row>
    <row r="17" spans="1:12">
      <c r="A17" s="1">
        <v>15</v>
      </c>
      <c r="B17" s="37" t="s">
        <v>290</v>
      </c>
      <c r="C17" s="1" t="s">
        <v>318</v>
      </c>
      <c r="D17" s="20" t="s">
        <v>266</v>
      </c>
      <c r="E17" s="23" t="s">
        <v>21</v>
      </c>
      <c r="F17" s="34">
        <v>1</v>
      </c>
      <c r="G17" s="29" t="s">
        <v>306</v>
      </c>
      <c r="H17" s="24">
        <v>2</v>
      </c>
      <c r="I17" s="32">
        <v>2601.5</v>
      </c>
      <c r="J17" s="2">
        <v>36</v>
      </c>
      <c r="K17" s="2"/>
      <c r="L17" s="1" t="s">
        <v>9</v>
      </c>
    </row>
    <row r="18" spans="1:12">
      <c r="A18" s="1">
        <v>16</v>
      </c>
      <c r="B18" s="37"/>
      <c r="C18" s="1" t="s">
        <v>318</v>
      </c>
      <c r="D18" s="20" t="s">
        <v>266</v>
      </c>
      <c r="E18" s="23" t="s">
        <v>72</v>
      </c>
      <c r="F18" s="34">
        <v>1</v>
      </c>
      <c r="G18" s="29" t="s">
        <v>73</v>
      </c>
      <c r="H18" s="24">
        <v>4</v>
      </c>
      <c r="I18" s="32"/>
      <c r="J18" s="2">
        <v>60</v>
      </c>
      <c r="K18" s="2"/>
      <c r="L18" s="1" t="s">
        <v>9</v>
      </c>
    </row>
    <row r="19" spans="1:12">
      <c r="A19" s="1">
        <v>17</v>
      </c>
      <c r="B19" s="37"/>
      <c r="C19" s="1" t="s">
        <v>318</v>
      </c>
      <c r="D19" s="20" t="s">
        <v>266</v>
      </c>
      <c r="E19" s="19" t="s">
        <v>75</v>
      </c>
      <c r="F19" s="34">
        <v>1</v>
      </c>
      <c r="G19" s="29" t="s">
        <v>76</v>
      </c>
      <c r="H19" s="29">
        <v>5</v>
      </c>
      <c r="I19" s="32"/>
      <c r="J19" s="2"/>
      <c r="K19" s="2"/>
      <c r="L19" s="1" t="s">
        <v>9</v>
      </c>
    </row>
    <row r="20" spans="1:12">
      <c r="A20" s="1">
        <v>18</v>
      </c>
      <c r="B20" s="37"/>
      <c r="C20" s="1" t="s">
        <v>318</v>
      </c>
      <c r="D20" s="20" t="s">
        <v>266</v>
      </c>
      <c r="E20" s="19" t="s">
        <v>385</v>
      </c>
      <c r="F20" s="34">
        <v>1</v>
      </c>
      <c r="G20" s="29" t="s">
        <v>74</v>
      </c>
      <c r="H20" s="29">
        <v>1</v>
      </c>
      <c r="I20" s="32"/>
      <c r="J20" s="2"/>
      <c r="K20" s="2"/>
      <c r="L20" s="1" t="s">
        <v>9</v>
      </c>
    </row>
    <row r="21" spans="1:12">
      <c r="A21" s="25">
        <v>19</v>
      </c>
      <c r="B21" s="40"/>
      <c r="C21" s="25" t="s">
        <v>318</v>
      </c>
      <c r="D21" s="26" t="s">
        <v>266</v>
      </c>
      <c r="E21" s="46" t="s">
        <v>75</v>
      </c>
      <c r="F21" s="47">
        <v>1</v>
      </c>
      <c r="G21" s="46" t="s">
        <v>74</v>
      </c>
      <c r="H21" s="46">
        <v>2</v>
      </c>
      <c r="I21" s="42"/>
      <c r="J21" s="25"/>
      <c r="K21" s="25"/>
      <c r="L21" s="25" t="s">
        <v>386</v>
      </c>
    </row>
    <row r="22" spans="1:12">
      <c r="A22" s="25">
        <v>20</v>
      </c>
      <c r="B22" s="40"/>
      <c r="C22" s="25" t="s">
        <v>318</v>
      </c>
      <c r="D22" s="26" t="s">
        <v>266</v>
      </c>
      <c r="E22" s="46" t="s">
        <v>75</v>
      </c>
      <c r="F22" s="47">
        <v>1</v>
      </c>
      <c r="G22" s="46" t="s">
        <v>74</v>
      </c>
      <c r="H22" s="46">
        <v>4</v>
      </c>
      <c r="I22" s="42"/>
      <c r="J22" s="25"/>
      <c r="K22" s="25"/>
      <c r="L22" s="25" t="s">
        <v>386</v>
      </c>
    </row>
    <row r="23" spans="1:12">
      <c r="A23" s="1">
        <v>21</v>
      </c>
      <c r="B23" s="37" t="s">
        <v>287</v>
      </c>
      <c r="C23" s="1" t="s">
        <v>318</v>
      </c>
      <c r="D23" s="20" t="s">
        <v>320</v>
      </c>
      <c r="E23" s="23" t="s">
        <v>21</v>
      </c>
      <c r="F23" s="34">
        <v>2</v>
      </c>
      <c r="G23" s="29" t="s">
        <v>305</v>
      </c>
      <c r="H23" s="24">
        <v>14</v>
      </c>
      <c r="I23" s="32">
        <v>2299</v>
      </c>
      <c r="J23" s="2">
        <v>72</v>
      </c>
      <c r="K23" s="2"/>
      <c r="L23" s="1" t="s">
        <v>9</v>
      </c>
    </row>
    <row r="24" spans="1:12">
      <c r="A24" s="1">
        <v>22</v>
      </c>
      <c r="B24" s="37" t="s">
        <v>288</v>
      </c>
      <c r="C24" s="1" t="s">
        <v>318</v>
      </c>
      <c r="D24" s="20" t="s">
        <v>320</v>
      </c>
      <c r="E24" s="23" t="s">
        <v>19</v>
      </c>
      <c r="F24" s="34">
        <v>2</v>
      </c>
      <c r="G24" s="29" t="s">
        <v>305</v>
      </c>
      <c r="H24" s="24">
        <v>1</v>
      </c>
      <c r="I24" s="32">
        <v>2299</v>
      </c>
      <c r="J24" s="2">
        <v>38</v>
      </c>
      <c r="K24" s="2"/>
      <c r="L24" s="1" t="s">
        <v>9</v>
      </c>
    </row>
    <row r="25" spans="1:12">
      <c r="A25" s="1">
        <v>23</v>
      </c>
      <c r="B25" s="37" t="s">
        <v>283</v>
      </c>
      <c r="C25" s="1" t="s">
        <v>318</v>
      </c>
      <c r="D25" s="20" t="s">
        <v>57</v>
      </c>
      <c r="E25" s="23" t="s">
        <v>21</v>
      </c>
      <c r="F25" s="34">
        <v>1</v>
      </c>
      <c r="G25" s="29" t="s">
        <v>302</v>
      </c>
      <c r="H25" s="24">
        <v>2</v>
      </c>
      <c r="I25" s="32">
        <v>2299</v>
      </c>
      <c r="J25" s="2">
        <v>36</v>
      </c>
      <c r="K25" s="2"/>
      <c r="L25" s="1" t="s">
        <v>9</v>
      </c>
    </row>
    <row r="26" spans="1:12">
      <c r="A26" s="1">
        <v>24</v>
      </c>
      <c r="B26" s="37"/>
      <c r="C26" s="1" t="s">
        <v>318</v>
      </c>
      <c r="D26" s="20" t="s">
        <v>57</v>
      </c>
      <c r="E26" s="23" t="s">
        <v>72</v>
      </c>
      <c r="F26" s="34">
        <v>1</v>
      </c>
      <c r="G26" s="29" t="s">
        <v>73</v>
      </c>
      <c r="H26" s="24">
        <v>1</v>
      </c>
      <c r="I26" s="32"/>
      <c r="J26" s="2">
        <v>60</v>
      </c>
      <c r="K26" s="2"/>
      <c r="L26" s="1" t="s">
        <v>9</v>
      </c>
    </row>
    <row r="27" spans="1:12">
      <c r="A27" s="1">
        <v>25</v>
      </c>
      <c r="B27" s="37" t="s">
        <v>285</v>
      </c>
      <c r="C27" s="1" t="s">
        <v>318</v>
      </c>
      <c r="D27" s="20" t="s">
        <v>267</v>
      </c>
      <c r="E27" s="23" t="s">
        <v>21</v>
      </c>
      <c r="F27" s="34">
        <v>1</v>
      </c>
      <c r="G27" s="29" t="s">
        <v>552</v>
      </c>
      <c r="H27" s="24">
        <v>1</v>
      </c>
      <c r="I27" s="32">
        <v>2601.5</v>
      </c>
      <c r="J27" s="2">
        <v>36</v>
      </c>
      <c r="K27" s="2"/>
      <c r="L27" s="1" t="s">
        <v>9</v>
      </c>
    </row>
    <row r="28" spans="1:12">
      <c r="A28" s="1">
        <v>26</v>
      </c>
      <c r="B28" s="37" t="s">
        <v>286</v>
      </c>
      <c r="C28" s="1" t="s">
        <v>318</v>
      </c>
      <c r="D28" s="20" t="s">
        <v>267</v>
      </c>
      <c r="E28" s="23" t="s">
        <v>21</v>
      </c>
      <c r="F28" s="34">
        <v>1</v>
      </c>
      <c r="G28" s="29" t="s">
        <v>552</v>
      </c>
      <c r="H28" s="24">
        <v>1</v>
      </c>
      <c r="I28" s="32">
        <v>2601.5</v>
      </c>
      <c r="J28" s="2">
        <v>36</v>
      </c>
      <c r="K28" s="2"/>
      <c r="L28" s="1" t="s">
        <v>9</v>
      </c>
    </row>
    <row r="29" spans="1:12">
      <c r="A29" s="1">
        <v>27</v>
      </c>
      <c r="B29" s="37" t="s">
        <v>282</v>
      </c>
      <c r="C29" s="1" t="s">
        <v>318</v>
      </c>
      <c r="D29" s="20" t="s">
        <v>309</v>
      </c>
      <c r="E29" s="23" t="s">
        <v>21</v>
      </c>
      <c r="F29" s="34">
        <v>1</v>
      </c>
      <c r="G29" s="29" t="s">
        <v>301</v>
      </c>
      <c r="H29" s="24">
        <v>2</v>
      </c>
      <c r="I29" s="32">
        <v>2299</v>
      </c>
      <c r="J29" s="2">
        <v>36</v>
      </c>
      <c r="K29" s="2"/>
      <c r="L29" s="1" t="s">
        <v>9</v>
      </c>
    </row>
    <row r="30" spans="1:12">
      <c r="A30" s="1">
        <v>28</v>
      </c>
      <c r="B30" s="37" t="s">
        <v>291</v>
      </c>
      <c r="C30" s="1" t="s">
        <v>318</v>
      </c>
      <c r="D30" s="20" t="s">
        <v>38</v>
      </c>
      <c r="E30" s="23" t="s">
        <v>21</v>
      </c>
      <c r="F30" s="34">
        <v>1</v>
      </c>
      <c r="G30" s="29" t="s">
        <v>253</v>
      </c>
      <c r="H30" s="24">
        <v>1</v>
      </c>
      <c r="I30" s="32">
        <v>2299</v>
      </c>
      <c r="J30" s="2">
        <v>36</v>
      </c>
      <c r="K30" s="2"/>
      <c r="L30" s="1" t="s">
        <v>9</v>
      </c>
    </row>
    <row r="31" spans="1:12">
      <c r="A31" s="1">
        <v>29</v>
      </c>
      <c r="B31" s="37" t="s">
        <v>292</v>
      </c>
      <c r="C31" s="1" t="s">
        <v>318</v>
      </c>
      <c r="D31" s="20" t="s">
        <v>268</v>
      </c>
      <c r="E31" s="23" t="s">
        <v>19</v>
      </c>
      <c r="F31" s="34">
        <v>1</v>
      </c>
      <c r="G31" s="29" t="s">
        <v>307</v>
      </c>
      <c r="H31" s="24">
        <v>1</v>
      </c>
      <c r="I31" s="32">
        <v>2601.5</v>
      </c>
      <c r="J31" s="2">
        <v>26</v>
      </c>
      <c r="K31" s="2"/>
      <c r="L31" s="1" t="s">
        <v>9</v>
      </c>
    </row>
    <row r="32" spans="1:12">
      <c r="A32" s="1">
        <v>30</v>
      </c>
      <c r="B32" s="37" t="s">
        <v>287</v>
      </c>
      <c r="C32" s="1" t="s">
        <v>318</v>
      </c>
      <c r="D32" s="20" t="s">
        <v>326</v>
      </c>
      <c r="E32" s="23" t="s">
        <v>21</v>
      </c>
      <c r="F32" s="34">
        <v>2</v>
      </c>
      <c r="G32" s="29" t="s">
        <v>305</v>
      </c>
      <c r="H32" s="24">
        <v>100</v>
      </c>
      <c r="I32" s="32">
        <v>2299</v>
      </c>
      <c r="J32" s="2">
        <v>72</v>
      </c>
      <c r="K32" s="2"/>
      <c r="L32" s="1" t="s">
        <v>9</v>
      </c>
    </row>
    <row r="33" spans="1:12">
      <c r="A33" s="1">
        <v>31</v>
      </c>
      <c r="B33" s="37" t="s">
        <v>282</v>
      </c>
      <c r="C33" s="1" t="s">
        <v>318</v>
      </c>
      <c r="D33" s="20" t="s">
        <v>327</v>
      </c>
      <c r="E33" s="23" t="s">
        <v>21</v>
      </c>
      <c r="F33" s="34">
        <v>1</v>
      </c>
      <c r="G33" s="29" t="s">
        <v>301</v>
      </c>
      <c r="H33" s="24">
        <v>2</v>
      </c>
      <c r="I33" s="32">
        <v>2299</v>
      </c>
      <c r="J33" s="2">
        <v>36</v>
      </c>
      <c r="K33" s="2"/>
      <c r="L33" s="1" t="s">
        <v>9</v>
      </c>
    </row>
    <row r="34" spans="1:12">
      <c r="A34" s="1">
        <v>32</v>
      </c>
      <c r="B34" s="37" t="s">
        <v>82</v>
      </c>
      <c r="C34" s="1" t="s">
        <v>318</v>
      </c>
      <c r="D34" s="20" t="s">
        <v>34</v>
      </c>
      <c r="E34" s="23" t="s">
        <v>21</v>
      </c>
      <c r="F34" s="34">
        <v>1</v>
      </c>
      <c r="G34" s="29" t="s">
        <v>88</v>
      </c>
      <c r="H34" s="24">
        <v>8</v>
      </c>
      <c r="I34" s="32"/>
      <c r="J34" s="2">
        <v>36</v>
      </c>
      <c r="K34" s="2"/>
      <c r="L34" s="1" t="s">
        <v>9</v>
      </c>
    </row>
    <row r="35" spans="1:12">
      <c r="A35" s="1">
        <v>33</v>
      </c>
      <c r="B35" s="37" t="s">
        <v>28</v>
      </c>
      <c r="C35" s="1" t="s">
        <v>318</v>
      </c>
      <c r="D35" s="20" t="s">
        <v>329</v>
      </c>
      <c r="E35" s="23" t="s">
        <v>21</v>
      </c>
      <c r="F35" s="34">
        <v>1</v>
      </c>
      <c r="G35" s="29" t="s">
        <v>29</v>
      </c>
      <c r="H35" s="24">
        <v>2</v>
      </c>
      <c r="I35" s="32"/>
      <c r="J35" s="2">
        <v>36</v>
      </c>
      <c r="K35" s="2"/>
      <c r="L35" s="1" t="s">
        <v>9</v>
      </c>
    </row>
    <row r="36" spans="1:12">
      <c r="A36" s="1">
        <v>34</v>
      </c>
      <c r="B36" s="37" t="s">
        <v>330</v>
      </c>
      <c r="C36" s="1" t="s">
        <v>318</v>
      </c>
      <c r="D36" s="20" t="s">
        <v>329</v>
      </c>
      <c r="E36" s="23" t="s">
        <v>21</v>
      </c>
      <c r="F36" s="34">
        <v>2</v>
      </c>
      <c r="G36" s="29" t="s">
        <v>331</v>
      </c>
      <c r="H36" s="24">
        <v>3</v>
      </c>
      <c r="I36" s="32"/>
      <c r="J36" s="2">
        <v>72</v>
      </c>
      <c r="K36" s="2"/>
      <c r="L36" s="1" t="s">
        <v>9</v>
      </c>
    </row>
    <row r="37" spans="1:12">
      <c r="A37" s="1">
        <v>35</v>
      </c>
      <c r="B37" s="37" t="s">
        <v>282</v>
      </c>
      <c r="C37" s="1" t="s">
        <v>318</v>
      </c>
      <c r="D37" s="20" t="s">
        <v>310</v>
      </c>
      <c r="E37" s="23" t="s">
        <v>21</v>
      </c>
      <c r="F37" s="34">
        <v>1</v>
      </c>
      <c r="G37" s="29" t="s">
        <v>301</v>
      </c>
      <c r="H37" s="24">
        <v>1</v>
      </c>
      <c r="I37" s="32">
        <v>2299</v>
      </c>
      <c r="J37" s="2">
        <v>36</v>
      </c>
      <c r="K37" s="2"/>
      <c r="L37" s="1" t="s">
        <v>9</v>
      </c>
    </row>
    <row r="38" spans="1:12">
      <c r="A38" s="1">
        <v>36</v>
      </c>
      <c r="B38" s="37"/>
      <c r="C38" s="1" t="s">
        <v>318</v>
      </c>
      <c r="D38" s="20" t="s">
        <v>310</v>
      </c>
      <c r="E38" s="23" t="s">
        <v>304</v>
      </c>
      <c r="F38" s="34">
        <v>1</v>
      </c>
      <c r="G38" s="12" t="s">
        <v>316</v>
      </c>
      <c r="H38" s="24">
        <v>3</v>
      </c>
      <c r="I38" s="32">
        <v>2299</v>
      </c>
      <c r="J38" s="2"/>
      <c r="K38" s="2" t="s">
        <v>32</v>
      </c>
      <c r="L38" s="1" t="s">
        <v>9</v>
      </c>
    </row>
    <row r="39" spans="1:12">
      <c r="A39" s="1">
        <v>37</v>
      </c>
      <c r="B39" s="37" t="s">
        <v>282</v>
      </c>
      <c r="C39" s="1" t="s">
        <v>318</v>
      </c>
      <c r="D39" s="20" t="s">
        <v>311</v>
      </c>
      <c r="E39" s="23" t="s">
        <v>21</v>
      </c>
      <c r="F39" s="34">
        <v>1</v>
      </c>
      <c r="G39" s="12" t="s">
        <v>301</v>
      </c>
      <c r="H39" s="24">
        <v>1</v>
      </c>
      <c r="I39" s="32">
        <v>2299</v>
      </c>
      <c r="J39" s="2">
        <v>36</v>
      </c>
      <c r="K39" s="2"/>
      <c r="L39" s="1" t="s">
        <v>9</v>
      </c>
    </row>
    <row r="40" spans="1:12">
      <c r="A40" s="1">
        <v>38</v>
      </c>
      <c r="B40" s="37"/>
      <c r="C40" s="1" t="s">
        <v>318</v>
      </c>
      <c r="D40" s="20" t="s">
        <v>311</v>
      </c>
      <c r="E40" s="23" t="s">
        <v>304</v>
      </c>
      <c r="F40" s="34">
        <v>1</v>
      </c>
      <c r="G40" s="29" t="s">
        <v>316</v>
      </c>
      <c r="H40" s="24">
        <v>2</v>
      </c>
      <c r="I40" s="32">
        <v>2299</v>
      </c>
      <c r="J40" s="2"/>
      <c r="K40" s="2" t="s">
        <v>32</v>
      </c>
      <c r="L40" s="1" t="s">
        <v>9</v>
      </c>
    </row>
    <row r="41" spans="1:12">
      <c r="A41" s="1">
        <v>39</v>
      </c>
      <c r="B41" s="37" t="s">
        <v>323</v>
      </c>
      <c r="C41" s="1" t="s">
        <v>318</v>
      </c>
      <c r="D41" s="20" t="s">
        <v>273</v>
      </c>
      <c r="E41" s="23" t="s">
        <v>21</v>
      </c>
      <c r="F41" s="34">
        <v>1</v>
      </c>
      <c r="G41" s="29" t="s">
        <v>302</v>
      </c>
      <c r="H41" s="24">
        <v>3</v>
      </c>
      <c r="I41" s="32">
        <v>2601.5</v>
      </c>
      <c r="J41" s="2">
        <v>36</v>
      </c>
      <c r="K41" s="2"/>
      <c r="L41" s="1" t="s">
        <v>9</v>
      </c>
    </row>
    <row r="42" spans="1:12">
      <c r="A42" s="1">
        <v>40</v>
      </c>
      <c r="B42" s="37" t="s">
        <v>285</v>
      </c>
      <c r="C42" s="1" t="s">
        <v>318</v>
      </c>
      <c r="D42" s="20" t="s">
        <v>274</v>
      </c>
      <c r="E42" s="23" t="s">
        <v>21</v>
      </c>
      <c r="F42" s="34">
        <v>1</v>
      </c>
      <c r="G42" s="29" t="s">
        <v>552</v>
      </c>
      <c r="H42" s="24">
        <v>1</v>
      </c>
      <c r="I42" s="32">
        <v>2601.5</v>
      </c>
      <c r="J42" s="2">
        <v>36</v>
      </c>
      <c r="K42" s="2"/>
      <c r="L42" s="1" t="s">
        <v>9</v>
      </c>
    </row>
    <row r="43" spans="1:12">
      <c r="A43" s="1">
        <v>41</v>
      </c>
      <c r="B43" s="37" t="s">
        <v>286</v>
      </c>
      <c r="C43" s="1" t="s">
        <v>318</v>
      </c>
      <c r="D43" s="20" t="s">
        <v>274</v>
      </c>
      <c r="E43" s="23" t="s">
        <v>21</v>
      </c>
      <c r="F43" s="34">
        <v>1</v>
      </c>
      <c r="G43" s="29" t="s">
        <v>552</v>
      </c>
      <c r="H43" s="24">
        <v>1</v>
      </c>
      <c r="I43" s="32">
        <v>2601.5</v>
      </c>
      <c r="J43" s="2">
        <v>36</v>
      </c>
      <c r="K43" s="2"/>
      <c r="L43" s="1" t="s">
        <v>9</v>
      </c>
    </row>
    <row r="44" spans="1:12">
      <c r="A44" s="1">
        <v>42</v>
      </c>
      <c r="B44" s="37" t="s">
        <v>282</v>
      </c>
      <c r="C44" s="1" t="s">
        <v>318</v>
      </c>
      <c r="D44" s="20" t="s">
        <v>312</v>
      </c>
      <c r="E44" s="23" t="s">
        <v>21</v>
      </c>
      <c r="F44" s="34">
        <v>1</v>
      </c>
      <c r="G44" s="29" t="s">
        <v>301</v>
      </c>
      <c r="H44" s="24">
        <v>1</v>
      </c>
      <c r="I44" s="32">
        <v>2601.5</v>
      </c>
      <c r="J44" s="2">
        <v>36</v>
      </c>
      <c r="K44" s="2"/>
      <c r="L44" s="1" t="s">
        <v>9</v>
      </c>
    </row>
    <row r="45" spans="1:12" s="10" customFormat="1">
      <c r="A45" s="1">
        <v>43</v>
      </c>
      <c r="B45" s="37" t="s">
        <v>282</v>
      </c>
      <c r="C45" s="2" t="s">
        <v>318</v>
      </c>
      <c r="D45" s="20" t="s">
        <v>313</v>
      </c>
      <c r="E45" s="23" t="s">
        <v>21</v>
      </c>
      <c r="F45" s="34">
        <v>1</v>
      </c>
      <c r="G45" s="29" t="s">
        <v>301</v>
      </c>
      <c r="H45" s="24">
        <v>1</v>
      </c>
      <c r="I45" s="32">
        <v>2299</v>
      </c>
      <c r="J45" s="2">
        <v>36</v>
      </c>
      <c r="K45" s="2"/>
      <c r="L45" s="1" t="s">
        <v>9</v>
      </c>
    </row>
    <row r="46" spans="1:12">
      <c r="A46" s="1">
        <v>44</v>
      </c>
      <c r="B46" s="37" t="s">
        <v>284</v>
      </c>
      <c r="C46" s="1" t="s">
        <v>318</v>
      </c>
      <c r="D46" s="20" t="s">
        <v>61</v>
      </c>
      <c r="E46" s="23" t="s">
        <v>19</v>
      </c>
      <c r="F46" s="34">
        <v>1</v>
      </c>
      <c r="G46" s="29" t="s">
        <v>303</v>
      </c>
      <c r="H46" s="24">
        <v>1</v>
      </c>
      <c r="I46" s="32">
        <v>2299</v>
      </c>
      <c r="J46" s="2">
        <v>26</v>
      </c>
      <c r="K46" s="2"/>
      <c r="L46" s="1" t="s">
        <v>9</v>
      </c>
    </row>
    <row r="47" spans="1:12">
      <c r="A47" s="1">
        <v>45</v>
      </c>
      <c r="B47" s="37" t="s">
        <v>287</v>
      </c>
      <c r="C47" s="1" t="s">
        <v>318</v>
      </c>
      <c r="D47" s="20" t="s">
        <v>276</v>
      </c>
      <c r="E47" s="23" t="s">
        <v>21</v>
      </c>
      <c r="F47" s="34">
        <v>2</v>
      </c>
      <c r="G47" s="29" t="s">
        <v>281</v>
      </c>
      <c r="H47" s="24">
        <v>6</v>
      </c>
      <c r="I47" s="32">
        <v>2299</v>
      </c>
      <c r="J47" s="2">
        <v>72</v>
      </c>
      <c r="K47" s="2"/>
      <c r="L47" s="1" t="s">
        <v>9</v>
      </c>
    </row>
    <row r="48" spans="1:12">
      <c r="A48" s="1">
        <v>46</v>
      </c>
      <c r="B48" s="37" t="s">
        <v>287</v>
      </c>
      <c r="C48" s="1" t="s">
        <v>318</v>
      </c>
      <c r="D48" s="20" t="s">
        <v>321</v>
      </c>
      <c r="E48" s="23" t="s">
        <v>21</v>
      </c>
      <c r="F48" s="34">
        <v>2</v>
      </c>
      <c r="G48" s="29" t="s">
        <v>281</v>
      </c>
      <c r="H48" s="24">
        <v>53</v>
      </c>
      <c r="I48" s="32">
        <v>2299</v>
      </c>
      <c r="J48" s="2">
        <v>72</v>
      </c>
      <c r="K48" s="2"/>
      <c r="L48" s="1" t="s">
        <v>9</v>
      </c>
    </row>
    <row r="49" spans="1:12">
      <c r="A49" s="1">
        <v>47</v>
      </c>
      <c r="B49" s="37" t="s">
        <v>288</v>
      </c>
      <c r="C49" s="1" t="s">
        <v>318</v>
      </c>
      <c r="D49" s="20" t="s">
        <v>321</v>
      </c>
      <c r="E49" s="23" t="s">
        <v>19</v>
      </c>
      <c r="F49" s="34">
        <v>2</v>
      </c>
      <c r="G49" s="29" t="s">
        <v>281</v>
      </c>
      <c r="H49" s="24">
        <v>1</v>
      </c>
      <c r="I49" s="32">
        <v>2299</v>
      </c>
      <c r="J49" s="2">
        <v>38</v>
      </c>
      <c r="K49" s="2"/>
      <c r="L49" s="1" t="s">
        <v>9</v>
      </c>
    </row>
    <row r="50" spans="1:12">
      <c r="A50" s="1">
        <v>48</v>
      </c>
      <c r="B50" s="37" t="s">
        <v>291</v>
      </c>
      <c r="C50" s="1" t="s">
        <v>318</v>
      </c>
      <c r="D50" s="20" t="s">
        <v>64</v>
      </c>
      <c r="E50" s="23" t="s">
        <v>21</v>
      </c>
      <c r="F50" s="34">
        <v>1</v>
      </c>
      <c r="G50" s="29" t="s">
        <v>253</v>
      </c>
      <c r="H50" s="24">
        <v>1</v>
      </c>
      <c r="I50" s="32">
        <v>2299</v>
      </c>
      <c r="J50" s="2">
        <v>36</v>
      </c>
      <c r="K50" s="2"/>
      <c r="L50" s="1" t="s">
        <v>9</v>
      </c>
    </row>
    <row r="51" spans="1:12">
      <c r="A51" s="1">
        <v>49</v>
      </c>
      <c r="B51" s="37" t="s">
        <v>294</v>
      </c>
      <c r="C51" s="1" t="s">
        <v>318</v>
      </c>
      <c r="D51" s="20" t="s">
        <v>314</v>
      </c>
      <c r="E51" s="23" t="s">
        <v>21</v>
      </c>
      <c r="F51" s="33">
        <v>1</v>
      </c>
      <c r="G51" s="12" t="s">
        <v>251</v>
      </c>
      <c r="H51" s="24">
        <v>2</v>
      </c>
      <c r="I51" s="32">
        <v>2299</v>
      </c>
      <c r="J51" s="1">
        <v>36</v>
      </c>
      <c r="K51" s="1"/>
      <c r="L51" s="1" t="s">
        <v>9</v>
      </c>
    </row>
    <row r="52" spans="1:12">
      <c r="A52" s="1">
        <v>50</v>
      </c>
      <c r="B52" s="37" t="s">
        <v>292</v>
      </c>
      <c r="C52" s="1" t="s">
        <v>318</v>
      </c>
      <c r="D52" s="20" t="s">
        <v>278</v>
      </c>
      <c r="E52" s="23" t="s">
        <v>19</v>
      </c>
      <c r="F52" s="33">
        <v>1</v>
      </c>
      <c r="G52" s="29" t="s">
        <v>307</v>
      </c>
      <c r="H52" s="24">
        <v>1</v>
      </c>
      <c r="I52" s="32">
        <v>2601.5</v>
      </c>
      <c r="J52" s="1">
        <v>26</v>
      </c>
      <c r="K52" s="2"/>
      <c r="L52" s="1" t="s">
        <v>9</v>
      </c>
    </row>
    <row r="53" spans="1:12">
      <c r="A53" s="1">
        <v>51</v>
      </c>
      <c r="B53" s="37" t="s">
        <v>283</v>
      </c>
      <c r="C53" s="1" t="s">
        <v>318</v>
      </c>
      <c r="D53" s="20" t="s">
        <v>65</v>
      </c>
      <c r="E53" s="23" t="s">
        <v>21</v>
      </c>
      <c r="F53" s="34">
        <v>1</v>
      </c>
      <c r="G53" s="29" t="s">
        <v>302</v>
      </c>
      <c r="H53" s="24">
        <v>2</v>
      </c>
      <c r="I53" s="32">
        <v>2299</v>
      </c>
      <c r="J53" s="2">
        <v>36</v>
      </c>
      <c r="K53" s="2"/>
      <c r="L53" s="1" t="s">
        <v>9</v>
      </c>
    </row>
    <row r="54" spans="1:12">
      <c r="A54" s="1">
        <v>52</v>
      </c>
      <c r="B54" s="37"/>
      <c r="C54" s="1" t="s">
        <v>318</v>
      </c>
      <c r="D54" s="20" t="s">
        <v>65</v>
      </c>
      <c r="E54" s="23" t="s">
        <v>72</v>
      </c>
      <c r="F54" s="34">
        <v>1</v>
      </c>
      <c r="G54" s="29" t="s">
        <v>73</v>
      </c>
      <c r="H54" s="24">
        <v>1</v>
      </c>
      <c r="I54" s="32"/>
      <c r="J54" s="2">
        <v>60</v>
      </c>
      <c r="K54" s="2"/>
      <c r="L54" s="1" t="s">
        <v>9</v>
      </c>
    </row>
    <row r="55" spans="1:12">
      <c r="A55" s="1">
        <v>53</v>
      </c>
      <c r="B55" s="37" t="s">
        <v>285</v>
      </c>
      <c r="C55" s="1" t="s">
        <v>318</v>
      </c>
      <c r="D55" s="20" t="s">
        <v>279</v>
      </c>
      <c r="E55" s="23" t="s">
        <v>21</v>
      </c>
      <c r="F55" s="33">
        <v>1</v>
      </c>
      <c r="G55" s="12" t="s">
        <v>552</v>
      </c>
      <c r="H55" s="24">
        <v>1</v>
      </c>
      <c r="I55" s="32">
        <v>2601.5</v>
      </c>
      <c r="J55" s="1">
        <v>36</v>
      </c>
      <c r="K55" s="1"/>
      <c r="L55" s="1" t="s">
        <v>9</v>
      </c>
    </row>
    <row r="56" spans="1:12">
      <c r="A56" s="1">
        <v>54</v>
      </c>
      <c r="B56" s="37" t="s">
        <v>286</v>
      </c>
      <c r="C56" s="1" t="s">
        <v>318</v>
      </c>
      <c r="D56" s="20" t="s">
        <v>279</v>
      </c>
      <c r="E56" s="23" t="s">
        <v>21</v>
      </c>
      <c r="F56" s="34">
        <v>1</v>
      </c>
      <c r="G56" s="12" t="s">
        <v>552</v>
      </c>
      <c r="H56" s="24">
        <v>1</v>
      </c>
      <c r="I56" s="32">
        <v>2601.5</v>
      </c>
      <c r="J56" s="1">
        <v>36</v>
      </c>
      <c r="K56" s="1"/>
      <c r="L56" s="1" t="s">
        <v>9</v>
      </c>
    </row>
    <row r="57" spans="1:12">
      <c r="A57" s="1">
        <v>55</v>
      </c>
      <c r="B57" s="37" t="s">
        <v>287</v>
      </c>
      <c r="C57" s="1" t="s">
        <v>318</v>
      </c>
      <c r="D57" s="20" t="s">
        <v>328</v>
      </c>
      <c r="E57" s="23" t="s">
        <v>21</v>
      </c>
      <c r="F57" s="34">
        <v>2</v>
      </c>
      <c r="G57" s="12" t="s">
        <v>305</v>
      </c>
      <c r="H57" s="24">
        <v>20</v>
      </c>
      <c r="I57" s="32">
        <v>2299</v>
      </c>
      <c r="J57" s="1">
        <v>72</v>
      </c>
      <c r="K57" s="1"/>
      <c r="L57" s="1" t="s">
        <v>9</v>
      </c>
    </row>
    <row r="58" spans="1:12">
      <c r="A58" s="1">
        <v>56</v>
      </c>
      <c r="B58" s="37" t="s">
        <v>287</v>
      </c>
      <c r="C58" s="1" t="s">
        <v>318</v>
      </c>
      <c r="D58" s="20" t="s">
        <v>322</v>
      </c>
      <c r="E58" s="23" t="s">
        <v>21</v>
      </c>
      <c r="F58" s="33">
        <v>2</v>
      </c>
      <c r="G58" s="12" t="s">
        <v>305</v>
      </c>
      <c r="H58" s="24">
        <v>96</v>
      </c>
      <c r="I58" s="32">
        <v>2299</v>
      </c>
      <c r="J58" s="1">
        <v>72</v>
      </c>
      <c r="K58" s="1"/>
      <c r="L58" s="1" t="s">
        <v>9</v>
      </c>
    </row>
    <row r="59" spans="1:12">
      <c r="A59" s="1">
        <v>57</v>
      </c>
      <c r="B59" s="37" t="s">
        <v>288</v>
      </c>
      <c r="C59" s="1" t="s">
        <v>318</v>
      </c>
      <c r="D59" s="20" t="s">
        <v>322</v>
      </c>
      <c r="E59" s="23" t="s">
        <v>19</v>
      </c>
      <c r="F59" s="33">
        <v>2</v>
      </c>
      <c r="G59" s="12" t="s">
        <v>305</v>
      </c>
      <c r="H59" s="24">
        <v>4</v>
      </c>
      <c r="I59" s="32">
        <v>2299</v>
      </c>
      <c r="J59" s="1">
        <v>38</v>
      </c>
      <c r="K59" s="1"/>
      <c r="L59" s="1" t="s">
        <v>9</v>
      </c>
    </row>
    <row r="60" spans="1:12">
      <c r="A60" s="7"/>
      <c r="B60" s="22"/>
      <c r="C60" s="7"/>
      <c r="D60" s="21"/>
      <c r="E60" s="22"/>
      <c r="F60" s="35"/>
      <c r="G60" s="21"/>
      <c r="H60" s="22">
        <f>SUM(H3:H59)</f>
        <v>506</v>
      </c>
      <c r="I60" s="21"/>
      <c r="J60" s="7"/>
      <c r="K60" s="7"/>
      <c r="L60" s="7"/>
    </row>
    <row r="61" spans="1:12">
      <c r="C61" s="7"/>
      <c r="D61" s="21"/>
      <c r="E61" s="22"/>
      <c r="F61" s="35"/>
      <c r="G61" s="21" t="s">
        <v>386</v>
      </c>
      <c r="H61" s="52">
        <v>6</v>
      </c>
      <c r="I61" s="21"/>
      <c r="J61" s="7"/>
      <c r="K61" s="7"/>
      <c r="L61" s="7"/>
    </row>
    <row r="62" spans="1:12">
      <c r="A62" t="s">
        <v>77</v>
      </c>
    </row>
    <row r="63" spans="1:12">
      <c r="A63" s="1">
        <v>54</v>
      </c>
      <c r="B63" s="29" t="s">
        <v>67</v>
      </c>
      <c r="C63" s="2" t="s">
        <v>318</v>
      </c>
      <c r="D63" s="29" t="s">
        <v>57</v>
      </c>
      <c r="E63" s="19" t="s">
        <v>97</v>
      </c>
      <c r="F63" s="33">
        <v>1</v>
      </c>
      <c r="G63" s="12" t="s">
        <v>594</v>
      </c>
      <c r="H63" s="19">
        <v>1</v>
      </c>
      <c r="I63" s="29">
        <v>8760</v>
      </c>
      <c r="J63" s="1">
        <v>4</v>
      </c>
      <c r="K63" s="1"/>
      <c r="L63" s="1" t="s">
        <v>9</v>
      </c>
    </row>
    <row r="64" spans="1:12">
      <c r="A64" s="1">
        <v>55</v>
      </c>
      <c r="B64" s="29" t="s">
        <v>69</v>
      </c>
      <c r="C64" s="2" t="s">
        <v>318</v>
      </c>
      <c r="D64" s="29" t="s">
        <v>39</v>
      </c>
      <c r="E64" s="19" t="s">
        <v>97</v>
      </c>
      <c r="F64" s="33">
        <v>1</v>
      </c>
      <c r="G64" s="12" t="s">
        <v>594</v>
      </c>
      <c r="H64" s="19">
        <v>1</v>
      </c>
      <c r="I64" s="29">
        <v>8760</v>
      </c>
      <c r="J64" s="1">
        <v>4</v>
      </c>
      <c r="K64" s="1"/>
      <c r="L64" s="1" t="s">
        <v>9</v>
      </c>
    </row>
    <row r="65" spans="1:12">
      <c r="A65" s="1">
        <v>56</v>
      </c>
      <c r="B65" s="29" t="s">
        <v>67</v>
      </c>
      <c r="C65" s="2" t="s">
        <v>318</v>
      </c>
      <c r="D65" s="29" t="s">
        <v>45</v>
      </c>
      <c r="E65" s="19" t="s">
        <v>97</v>
      </c>
      <c r="F65" s="33">
        <v>1</v>
      </c>
      <c r="G65" s="12" t="s">
        <v>594</v>
      </c>
      <c r="H65" s="19">
        <v>1</v>
      </c>
      <c r="I65" s="29">
        <v>8760</v>
      </c>
      <c r="J65" s="1">
        <v>4</v>
      </c>
      <c r="K65" s="1"/>
      <c r="L65" s="1" t="s">
        <v>9</v>
      </c>
    </row>
    <row r="66" spans="1:12">
      <c r="A66" s="1">
        <v>57</v>
      </c>
      <c r="B66" s="29" t="s">
        <v>68</v>
      </c>
      <c r="C66" s="2" t="s">
        <v>318</v>
      </c>
      <c r="D66" s="29" t="s">
        <v>45</v>
      </c>
      <c r="E66" s="19" t="s">
        <v>98</v>
      </c>
      <c r="F66" s="33">
        <v>1</v>
      </c>
      <c r="G66" s="12" t="s">
        <v>594</v>
      </c>
      <c r="H66" s="19">
        <v>1</v>
      </c>
      <c r="I66" s="29">
        <v>8760</v>
      </c>
      <c r="J66" s="1">
        <v>4</v>
      </c>
      <c r="K66" s="1"/>
      <c r="L66" s="1" t="s">
        <v>9</v>
      </c>
    </row>
    <row r="67" spans="1:12">
      <c r="A67" s="1">
        <v>58</v>
      </c>
      <c r="B67" s="29" t="s">
        <v>67</v>
      </c>
      <c r="C67" s="2" t="s">
        <v>318</v>
      </c>
      <c r="D67" s="29" t="s">
        <v>65</v>
      </c>
      <c r="E67" s="19" t="s">
        <v>97</v>
      </c>
      <c r="F67" s="33">
        <v>1</v>
      </c>
      <c r="G67" s="12" t="s">
        <v>594</v>
      </c>
      <c r="H67" s="19">
        <v>1</v>
      </c>
      <c r="I67" s="29">
        <v>8760</v>
      </c>
      <c r="J67" s="1">
        <v>4</v>
      </c>
      <c r="K67" s="1"/>
      <c r="L67" s="1" t="s">
        <v>9</v>
      </c>
    </row>
    <row r="68" spans="1:12">
      <c r="A68" s="1">
        <v>59</v>
      </c>
      <c r="B68" s="29" t="s">
        <v>69</v>
      </c>
      <c r="C68" s="2" t="s">
        <v>318</v>
      </c>
      <c r="D68" s="29" t="s">
        <v>49</v>
      </c>
      <c r="E68" s="19" t="s">
        <v>97</v>
      </c>
      <c r="F68" s="33">
        <v>1</v>
      </c>
      <c r="G68" s="12" t="s">
        <v>594</v>
      </c>
      <c r="H68" s="19">
        <v>1</v>
      </c>
      <c r="I68" s="29">
        <v>8760</v>
      </c>
      <c r="J68" s="1">
        <v>4</v>
      </c>
      <c r="K68" s="1"/>
      <c r="L68" s="1" t="s">
        <v>9</v>
      </c>
    </row>
    <row r="69" spans="1:12">
      <c r="A69" s="1">
        <v>60</v>
      </c>
      <c r="B69" s="29" t="s">
        <v>67</v>
      </c>
      <c r="C69" s="2" t="s">
        <v>318</v>
      </c>
      <c r="D69" s="29" t="s">
        <v>23</v>
      </c>
      <c r="E69" s="19" t="s">
        <v>97</v>
      </c>
      <c r="F69" s="33">
        <v>1</v>
      </c>
      <c r="G69" s="12" t="s">
        <v>594</v>
      </c>
      <c r="H69" s="19">
        <v>1</v>
      </c>
      <c r="I69" s="29">
        <v>8760</v>
      </c>
      <c r="J69" s="1">
        <v>4</v>
      </c>
      <c r="K69" s="1"/>
      <c r="L69" s="1" t="s">
        <v>9</v>
      </c>
    </row>
    <row r="70" spans="1:12">
      <c r="A70" s="1">
        <v>61</v>
      </c>
      <c r="B70" s="29" t="s">
        <v>68</v>
      </c>
      <c r="C70" s="2" t="s">
        <v>318</v>
      </c>
      <c r="D70" s="29" t="s">
        <v>23</v>
      </c>
      <c r="E70" s="19" t="s">
        <v>98</v>
      </c>
      <c r="F70" s="33">
        <v>1</v>
      </c>
      <c r="G70" s="12" t="s">
        <v>594</v>
      </c>
      <c r="H70" s="19">
        <v>1</v>
      </c>
      <c r="I70" s="29">
        <v>8760</v>
      </c>
      <c r="J70" s="1">
        <v>4</v>
      </c>
      <c r="K70" s="1"/>
      <c r="L70" s="1" t="s">
        <v>9</v>
      </c>
    </row>
    <row r="71" spans="1:12">
      <c r="A71" s="1">
        <v>62</v>
      </c>
      <c r="B71" s="19" t="s">
        <v>69</v>
      </c>
      <c r="C71" s="1" t="s">
        <v>318</v>
      </c>
      <c r="D71" s="19" t="s">
        <v>11</v>
      </c>
      <c r="E71" s="19" t="s">
        <v>97</v>
      </c>
      <c r="F71" s="33">
        <v>1</v>
      </c>
      <c r="G71" s="12" t="s">
        <v>594</v>
      </c>
      <c r="H71" s="19">
        <v>2</v>
      </c>
      <c r="I71" s="29">
        <v>8760</v>
      </c>
      <c r="J71" s="1">
        <v>4</v>
      </c>
      <c r="K71" s="1"/>
      <c r="L71" s="1" t="s">
        <v>9</v>
      </c>
    </row>
    <row r="72" spans="1:12">
      <c r="A72" s="1">
        <v>63</v>
      </c>
      <c r="B72" s="19" t="s">
        <v>68</v>
      </c>
      <c r="C72" s="1" t="s">
        <v>318</v>
      </c>
      <c r="D72" s="19" t="s">
        <v>11</v>
      </c>
      <c r="E72" s="19" t="s">
        <v>98</v>
      </c>
      <c r="F72" s="33">
        <v>1</v>
      </c>
      <c r="G72" s="12" t="s">
        <v>594</v>
      </c>
      <c r="H72" s="19">
        <v>8</v>
      </c>
      <c r="I72" s="29">
        <v>8760</v>
      </c>
      <c r="J72" s="1">
        <v>4</v>
      </c>
      <c r="K72" s="1"/>
      <c r="L72" s="1" t="s">
        <v>9</v>
      </c>
    </row>
    <row r="73" spans="1:12">
      <c r="A73" s="7"/>
      <c r="B73" s="22"/>
      <c r="C73" s="7"/>
      <c r="D73" s="22"/>
      <c r="E73" s="22"/>
      <c r="F73" s="36"/>
      <c r="G73" s="22"/>
      <c r="H73" s="22">
        <f>SUM(H63:H72)</f>
        <v>18</v>
      </c>
      <c r="I73" s="21"/>
      <c r="J73" s="7"/>
      <c r="K73" s="7"/>
      <c r="L73" s="7"/>
    </row>
    <row r="75" spans="1:12" ht="17.25" customHeight="1">
      <c r="A75" t="s">
        <v>70</v>
      </c>
    </row>
    <row r="76" spans="1:12">
      <c r="A76" s="1">
        <v>64</v>
      </c>
      <c r="B76" s="19"/>
      <c r="C76" s="1" t="s">
        <v>318</v>
      </c>
      <c r="D76" s="19" t="s">
        <v>71</v>
      </c>
      <c r="E76" s="19" t="s">
        <v>72</v>
      </c>
      <c r="F76" s="33">
        <v>1</v>
      </c>
      <c r="G76" s="19" t="s">
        <v>585</v>
      </c>
      <c r="H76" s="19">
        <v>83</v>
      </c>
      <c r="I76" s="29">
        <v>0</v>
      </c>
      <c r="J76" s="1">
        <v>60</v>
      </c>
      <c r="K76" s="1"/>
      <c r="L76" s="1" t="s">
        <v>9</v>
      </c>
    </row>
    <row r="77" spans="1:12">
      <c r="A77" s="1">
        <v>65</v>
      </c>
      <c r="B77" s="19" t="s">
        <v>581</v>
      </c>
      <c r="C77" s="1" t="s">
        <v>318</v>
      </c>
      <c r="D77" s="19" t="s">
        <v>71</v>
      </c>
      <c r="E77" s="19" t="s">
        <v>218</v>
      </c>
      <c r="F77" s="33">
        <v>1</v>
      </c>
      <c r="G77" s="19" t="s">
        <v>585</v>
      </c>
      <c r="H77" s="19">
        <v>1</v>
      </c>
      <c r="I77" s="29">
        <v>0</v>
      </c>
      <c r="J77" s="12">
        <v>40</v>
      </c>
      <c r="K77" s="19"/>
      <c r="L77" s="1" t="s">
        <v>9</v>
      </c>
    </row>
    <row r="78" spans="1:12">
      <c r="C78" s="18"/>
      <c r="F78" s="18"/>
      <c r="G78" s="18"/>
      <c r="H78" s="18">
        <f>SUM(H76:H77)</f>
        <v>84</v>
      </c>
      <c r="J78" s="11"/>
      <c r="K78" s="18"/>
    </row>
  </sheetData>
  <phoneticPr fontId="2"/>
  <dataValidations count="1">
    <dataValidation allowBlank="1" showInputMessage="1" showErrorMessage="1" sqref="D3:E59" xr:uid="{10ABB838-BDCF-4A69-9392-0C4384F7558E}"/>
  </dataValidations>
  <pageMargins left="0.7" right="0.7" top="0.75" bottom="0.75" header="0.3" footer="0.3"/>
  <pageSetup paperSize="8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25CC-3683-4A66-A272-39E07AF6105F}">
  <sheetPr>
    <pageSetUpPr fitToPage="1"/>
  </sheetPr>
  <dimension ref="A1:L75"/>
  <sheetViews>
    <sheetView topLeftCell="A58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customWidth="1"/>
    <col min="4" max="4" width="23" style="18" bestFit="1" customWidth="1"/>
    <col min="5" max="5" width="21.375" style="18" bestFit="1" customWidth="1"/>
    <col min="6" max="6" width="4.8125" style="11" bestFit="1" customWidth="1"/>
    <col min="7" max="7" width="23.9375" style="18" customWidth="1"/>
    <col min="8" max="8" width="5.1875" style="18" bestFit="1" customWidth="1"/>
    <col min="9" max="9" width="12.9375" style="31" customWidth="1"/>
    <col min="10" max="10" width="15.4375" style="18" bestFit="1" customWidth="1"/>
    <col min="11" max="11" width="22.4375" style="11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" t="s">
        <v>1</v>
      </c>
      <c r="D2" s="19" t="s">
        <v>13</v>
      </c>
      <c r="E2" s="19" t="s">
        <v>2</v>
      </c>
      <c r="F2" s="12" t="s">
        <v>3</v>
      </c>
      <c r="G2" s="19" t="s">
        <v>6</v>
      </c>
      <c r="H2" s="19" t="s">
        <v>4</v>
      </c>
      <c r="I2" s="29" t="s">
        <v>8</v>
      </c>
      <c r="J2" s="19" t="s">
        <v>5</v>
      </c>
      <c r="K2" s="12" t="s">
        <v>10</v>
      </c>
      <c r="L2" s="1" t="s">
        <v>7</v>
      </c>
    </row>
    <row r="3" spans="1:12">
      <c r="A3" s="1">
        <v>1</v>
      </c>
      <c r="B3" s="37" t="s">
        <v>282</v>
      </c>
      <c r="C3" s="1" t="s">
        <v>260</v>
      </c>
      <c r="D3" s="20" t="s">
        <v>297</v>
      </c>
      <c r="E3" s="23" t="s">
        <v>21</v>
      </c>
      <c r="F3" s="33">
        <v>1</v>
      </c>
      <c r="G3" s="19" t="s">
        <v>301</v>
      </c>
      <c r="H3" s="24">
        <v>1</v>
      </c>
      <c r="I3" s="32">
        <v>2299</v>
      </c>
      <c r="J3" s="30">
        <v>36</v>
      </c>
      <c r="K3" s="12"/>
      <c r="L3" s="1" t="s">
        <v>9</v>
      </c>
    </row>
    <row r="4" spans="1:12">
      <c r="A4" s="1">
        <v>2</v>
      </c>
      <c r="B4" s="37" t="s">
        <v>282</v>
      </c>
      <c r="C4" s="1" t="s">
        <v>260</v>
      </c>
      <c r="D4" s="20" t="s">
        <v>298</v>
      </c>
      <c r="E4" s="23" t="s">
        <v>21</v>
      </c>
      <c r="F4" s="33">
        <v>1</v>
      </c>
      <c r="G4" s="19" t="s">
        <v>301</v>
      </c>
      <c r="H4" s="24">
        <v>1</v>
      </c>
      <c r="I4" s="32">
        <v>2601.5</v>
      </c>
      <c r="J4" s="30">
        <v>36</v>
      </c>
      <c r="K4" s="12"/>
      <c r="L4" s="1" t="s">
        <v>9</v>
      </c>
    </row>
    <row r="5" spans="1:12">
      <c r="A5" s="1">
        <v>3</v>
      </c>
      <c r="B5" s="37" t="s">
        <v>283</v>
      </c>
      <c r="C5" s="1" t="s">
        <v>260</v>
      </c>
      <c r="D5" s="20" t="s">
        <v>261</v>
      </c>
      <c r="E5" s="23" t="s">
        <v>21</v>
      </c>
      <c r="F5" s="33">
        <v>1</v>
      </c>
      <c r="G5" s="19" t="s">
        <v>302</v>
      </c>
      <c r="H5" s="24">
        <v>3</v>
      </c>
      <c r="I5" s="32">
        <v>2601.5</v>
      </c>
      <c r="J5" s="30">
        <v>36</v>
      </c>
      <c r="K5" s="12"/>
      <c r="L5" s="1" t="s">
        <v>9</v>
      </c>
    </row>
    <row r="6" spans="1:12">
      <c r="A6" s="1">
        <v>4</v>
      </c>
      <c r="B6" s="37" t="s">
        <v>284</v>
      </c>
      <c r="C6" s="1" t="s">
        <v>260</v>
      </c>
      <c r="D6" s="20" t="s">
        <v>174</v>
      </c>
      <c r="E6" s="23" t="s">
        <v>19</v>
      </c>
      <c r="F6" s="33">
        <v>1</v>
      </c>
      <c r="G6" s="19" t="s">
        <v>303</v>
      </c>
      <c r="H6" s="24">
        <v>1</v>
      </c>
      <c r="I6" s="32">
        <v>2299</v>
      </c>
      <c r="J6" s="30">
        <v>26</v>
      </c>
      <c r="K6" s="12"/>
      <c r="L6" s="1" t="s">
        <v>9</v>
      </c>
    </row>
    <row r="7" spans="1:12">
      <c r="A7" s="1">
        <v>5</v>
      </c>
      <c r="B7" s="37" t="s">
        <v>285</v>
      </c>
      <c r="C7" s="1" t="s">
        <v>260</v>
      </c>
      <c r="D7" s="20" t="s">
        <v>262</v>
      </c>
      <c r="E7" s="23" t="s">
        <v>21</v>
      </c>
      <c r="F7" s="33">
        <v>1</v>
      </c>
      <c r="G7" s="19" t="s">
        <v>551</v>
      </c>
      <c r="H7" s="24">
        <v>1</v>
      </c>
      <c r="I7" s="32">
        <v>2601.5</v>
      </c>
      <c r="J7" s="30">
        <v>36</v>
      </c>
      <c r="K7" s="12"/>
      <c r="L7" s="1" t="s">
        <v>9</v>
      </c>
    </row>
    <row r="8" spans="1:12">
      <c r="A8" s="1">
        <v>6</v>
      </c>
      <c r="B8" s="37" t="s">
        <v>286</v>
      </c>
      <c r="C8" s="1" t="s">
        <v>260</v>
      </c>
      <c r="D8" s="20" t="s">
        <v>262</v>
      </c>
      <c r="E8" s="23" t="s">
        <v>21</v>
      </c>
      <c r="F8" s="33">
        <v>1</v>
      </c>
      <c r="G8" s="19" t="s">
        <v>551</v>
      </c>
      <c r="H8" s="24">
        <v>1</v>
      </c>
      <c r="I8" s="32">
        <v>2601.5</v>
      </c>
      <c r="J8" s="30">
        <v>36</v>
      </c>
      <c r="K8" s="12"/>
      <c r="L8" s="1" t="s">
        <v>9</v>
      </c>
    </row>
    <row r="9" spans="1:12">
      <c r="A9" s="1">
        <v>7</v>
      </c>
      <c r="B9" s="37" t="s">
        <v>282</v>
      </c>
      <c r="C9" s="1" t="s">
        <v>260</v>
      </c>
      <c r="D9" s="20" t="s">
        <v>299</v>
      </c>
      <c r="E9" s="23" t="s">
        <v>21</v>
      </c>
      <c r="F9" s="33">
        <v>1</v>
      </c>
      <c r="G9" s="29" t="s">
        <v>301</v>
      </c>
      <c r="H9" s="24">
        <v>1</v>
      </c>
      <c r="I9" s="32">
        <v>2299</v>
      </c>
      <c r="J9" s="30">
        <v>36</v>
      </c>
      <c r="K9" s="29"/>
      <c r="L9" s="1" t="s">
        <v>9</v>
      </c>
    </row>
    <row r="10" spans="1:12">
      <c r="A10" s="1">
        <v>8</v>
      </c>
      <c r="B10" s="37"/>
      <c r="C10" s="1" t="s">
        <v>260</v>
      </c>
      <c r="D10" s="20" t="s">
        <v>299</v>
      </c>
      <c r="E10" s="23" t="s">
        <v>304</v>
      </c>
      <c r="F10" s="34">
        <v>1</v>
      </c>
      <c r="G10" s="19" t="s">
        <v>316</v>
      </c>
      <c r="H10" s="24">
        <v>3</v>
      </c>
      <c r="I10" s="32">
        <v>2299</v>
      </c>
      <c r="J10" s="30"/>
      <c r="K10" s="29" t="s">
        <v>32</v>
      </c>
      <c r="L10" s="1" t="s">
        <v>9</v>
      </c>
    </row>
    <row r="11" spans="1:12">
      <c r="A11" s="1">
        <v>9</v>
      </c>
      <c r="B11" s="37" t="s">
        <v>282</v>
      </c>
      <c r="C11" s="1" t="s">
        <v>260</v>
      </c>
      <c r="D11" s="20" t="s">
        <v>300</v>
      </c>
      <c r="E11" s="23" t="s">
        <v>21</v>
      </c>
      <c r="F11" s="34">
        <v>1</v>
      </c>
      <c r="G11" s="29" t="s">
        <v>301</v>
      </c>
      <c r="H11" s="24">
        <v>1</v>
      </c>
      <c r="I11" s="32">
        <v>2299</v>
      </c>
      <c r="J11" s="30">
        <v>36</v>
      </c>
      <c r="K11" s="29"/>
      <c r="L11" s="1" t="s">
        <v>9</v>
      </c>
    </row>
    <row r="12" spans="1:12">
      <c r="A12" s="1">
        <v>10</v>
      </c>
      <c r="B12" s="37"/>
      <c r="C12" s="1" t="s">
        <v>260</v>
      </c>
      <c r="D12" s="20" t="s">
        <v>300</v>
      </c>
      <c r="E12" s="23" t="s">
        <v>304</v>
      </c>
      <c r="F12" s="34">
        <v>1</v>
      </c>
      <c r="G12" s="29" t="s">
        <v>316</v>
      </c>
      <c r="H12" s="24">
        <v>2</v>
      </c>
      <c r="I12" s="32">
        <v>2299</v>
      </c>
      <c r="J12" s="30"/>
      <c r="K12" s="29" t="s">
        <v>32</v>
      </c>
      <c r="L12" s="1" t="s">
        <v>9</v>
      </c>
    </row>
    <row r="13" spans="1:12">
      <c r="A13" s="1">
        <v>11</v>
      </c>
      <c r="B13" s="37" t="s">
        <v>287</v>
      </c>
      <c r="C13" s="1" t="s">
        <v>260</v>
      </c>
      <c r="D13" s="20" t="s">
        <v>263</v>
      </c>
      <c r="E13" s="23" t="s">
        <v>21</v>
      </c>
      <c r="F13" s="34">
        <v>2</v>
      </c>
      <c r="G13" s="29" t="s">
        <v>305</v>
      </c>
      <c r="H13" s="24">
        <v>17</v>
      </c>
      <c r="I13" s="32">
        <v>2299</v>
      </c>
      <c r="J13" s="30">
        <v>72</v>
      </c>
      <c r="K13" s="29"/>
      <c r="L13" s="1" t="s">
        <v>9</v>
      </c>
    </row>
    <row r="14" spans="1:12">
      <c r="A14" s="1">
        <v>12</v>
      </c>
      <c r="B14" s="37" t="s">
        <v>287</v>
      </c>
      <c r="C14" s="1" t="s">
        <v>260</v>
      </c>
      <c r="D14" s="20" t="s">
        <v>264</v>
      </c>
      <c r="E14" s="23" t="s">
        <v>21</v>
      </c>
      <c r="F14" s="34">
        <v>2</v>
      </c>
      <c r="G14" s="29" t="s">
        <v>281</v>
      </c>
      <c r="H14" s="24">
        <v>41</v>
      </c>
      <c r="I14" s="32">
        <v>2299</v>
      </c>
      <c r="J14" s="30">
        <v>72</v>
      </c>
      <c r="K14" s="29"/>
      <c r="L14" s="1" t="s">
        <v>9</v>
      </c>
    </row>
    <row r="15" spans="1:12">
      <c r="A15" s="1">
        <v>13</v>
      </c>
      <c r="B15" s="37" t="s">
        <v>288</v>
      </c>
      <c r="C15" s="1" t="s">
        <v>260</v>
      </c>
      <c r="D15" s="20" t="s">
        <v>264</v>
      </c>
      <c r="E15" s="23" t="s">
        <v>19</v>
      </c>
      <c r="F15" s="34">
        <v>1</v>
      </c>
      <c r="G15" s="23" t="s">
        <v>281</v>
      </c>
      <c r="H15" s="24">
        <v>1</v>
      </c>
      <c r="I15" s="32">
        <v>2299</v>
      </c>
      <c r="J15" s="30">
        <v>38</v>
      </c>
      <c r="K15" s="29"/>
      <c r="L15" s="1" t="s">
        <v>9</v>
      </c>
    </row>
    <row r="16" spans="1:12">
      <c r="A16" s="1">
        <v>14</v>
      </c>
      <c r="B16" s="37" t="s">
        <v>283</v>
      </c>
      <c r="C16" s="1" t="s">
        <v>260</v>
      </c>
      <c r="D16" s="20" t="s">
        <v>265</v>
      </c>
      <c r="E16" s="23" t="s">
        <v>21</v>
      </c>
      <c r="F16" s="34">
        <v>1</v>
      </c>
      <c r="G16" s="29" t="s">
        <v>302</v>
      </c>
      <c r="H16" s="24">
        <v>4</v>
      </c>
      <c r="I16" s="32">
        <v>2299</v>
      </c>
      <c r="J16" s="30">
        <v>36</v>
      </c>
      <c r="K16" s="29"/>
      <c r="L16" s="1" t="s">
        <v>9</v>
      </c>
    </row>
    <row r="17" spans="1:12">
      <c r="A17" s="1">
        <v>15</v>
      </c>
      <c r="B17" s="37"/>
      <c r="C17" s="1" t="s">
        <v>260</v>
      </c>
      <c r="D17" s="20" t="s">
        <v>265</v>
      </c>
      <c r="E17" s="23" t="s">
        <v>72</v>
      </c>
      <c r="F17" s="34">
        <v>1</v>
      </c>
      <c r="G17" s="29" t="s">
        <v>73</v>
      </c>
      <c r="H17" s="24">
        <v>5</v>
      </c>
      <c r="I17" s="32"/>
      <c r="J17" s="30">
        <v>60</v>
      </c>
      <c r="K17" s="29"/>
      <c r="L17" s="1" t="s">
        <v>9</v>
      </c>
    </row>
    <row r="18" spans="1:12">
      <c r="A18" s="1">
        <v>16</v>
      </c>
      <c r="B18" s="37" t="s">
        <v>289</v>
      </c>
      <c r="C18" s="1" t="s">
        <v>260</v>
      </c>
      <c r="D18" s="20" t="s">
        <v>266</v>
      </c>
      <c r="E18" s="23" t="s">
        <v>21</v>
      </c>
      <c r="F18" s="34">
        <v>1</v>
      </c>
      <c r="G18" s="29" t="s">
        <v>89</v>
      </c>
      <c r="H18" s="24">
        <v>77</v>
      </c>
      <c r="I18" s="32">
        <v>2601.5</v>
      </c>
      <c r="J18" s="30">
        <v>36</v>
      </c>
      <c r="K18" s="29"/>
      <c r="L18" s="1" t="s">
        <v>9</v>
      </c>
    </row>
    <row r="19" spans="1:12">
      <c r="A19" s="1">
        <v>17</v>
      </c>
      <c r="B19" s="37" t="s">
        <v>290</v>
      </c>
      <c r="C19" s="1" t="s">
        <v>260</v>
      </c>
      <c r="D19" s="20" t="s">
        <v>266</v>
      </c>
      <c r="E19" s="23" t="s">
        <v>21</v>
      </c>
      <c r="F19" s="34">
        <v>1</v>
      </c>
      <c r="G19" s="29" t="s">
        <v>306</v>
      </c>
      <c r="H19" s="24">
        <v>2</v>
      </c>
      <c r="I19" s="32">
        <v>2601.5</v>
      </c>
      <c r="J19" s="30">
        <v>36</v>
      </c>
      <c r="K19" s="29"/>
      <c r="L19" s="1" t="s">
        <v>9</v>
      </c>
    </row>
    <row r="20" spans="1:12">
      <c r="A20" s="1">
        <v>18</v>
      </c>
      <c r="B20" s="37"/>
      <c r="C20" s="1" t="s">
        <v>260</v>
      </c>
      <c r="D20" s="20" t="s">
        <v>315</v>
      </c>
      <c r="E20" s="23" t="s">
        <v>72</v>
      </c>
      <c r="F20" s="34">
        <v>1</v>
      </c>
      <c r="G20" s="29" t="s">
        <v>73</v>
      </c>
      <c r="H20" s="24">
        <v>4</v>
      </c>
      <c r="I20" s="32"/>
      <c r="J20" s="30">
        <v>60</v>
      </c>
      <c r="K20" s="29"/>
      <c r="L20" s="1" t="s">
        <v>9</v>
      </c>
    </row>
    <row r="21" spans="1:12">
      <c r="A21" s="1">
        <v>19</v>
      </c>
      <c r="B21" s="37"/>
      <c r="C21" s="1" t="s">
        <v>260</v>
      </c>
      <c r="D21" s="29" t="s">
        <v>11</v>
      </c>
      <c r="E21" s="19" t="s">
        <v>75</v>
      </c>
      <c r="F21" s="34">
        <v>1</v>
      </c>
      <c r="G21" s="29" t="s">
        <v>76</v>
      </c>
      <c r="H21" s="29">
        <v>5</v>
      </c>
      <c r="I21" s="32"/>
      <c r="J21" s="30"/>
      <c r="K21" s="29"/>
      <c r="L21" s="1" t="s">
        <v>9</v>
      </c>
    </row>
    <row r="22" spans="1:12">
      <c r="A22" s="1">
        <v>20</v>
      </c>
      <c r="B22" s="37" t="s">
        <v>283</v>
      </c>
      <c r="C22" s="1" t="s">
        <v>260</v>
      </c>
      <c r="D22" s="20" t="s">
        <v>57</v>
      </c>
      <c r="E22" s="23" t="s">
        <v>21</v>
      </c>
      <c r="F22" s="34">
        <v>1</v>
      </c>
      <c r="G22" s="29" t="s">
        <v>302</v>
      </c>
      <c r="H22" s="24">
        <v>2</v>
      </c>
      <c r="I22" s="32">
        <v>2299</v>
      </c>
      <c r="J22" s="30">
        <v>36</v>
      </c>
      <c r="K22" s="29"/>
      <c r="L22" s="1" t="s">
        <v>9</v>
      </c>
    </row>
    <row r="23" spans="1:12">
      <c r="A23" s="1">
        <v>21</v>
      </c>
      <c r="B23" s="37"/>
      <c r="C23" s="1" t="s">
        <v>260</v>
      </c>
      <c r="D23" s="20" t="s">
        <v>57</v>
      </c>
      <c r="E23" s="23" t="s">
        <v>72</v>
      </c>
      <c r="F23" s="34">
        <v>1</v>
      </c>
      <c r="G23" s="29" t="s">
        <v>73</v>
      </c>
      <c r="H23" s="24">
        <v>1</v>
      </c>
      <c r="I23" s="32"/>
      <c r="J23" s="30">
        <v>60</v>
      </c>
      <c r="K23" s="29"/>
      <c r="L23" s="1" t="s">
        <v>9</v>
      </c>
    </row>
    <row r="24" spans="1:12">
      <c r="A24" s="1">
        <v>22</v>
      </c>
      <c r="B24" s="37" t="s">
        <v>285</v>
      </c>
      <c r="C24" s="1" t="s">
        <v>260</v>
      </c>
      <c r="D24" s="20" t="s">
        <v>267</v>
      </c>
      <c r="E24" s="23" t="s">
        <v>21</v>
      </c>
      <c r="F24" s="34">
        <v>1</v>
      </c>
      <c r="G24" s="29" t="s">
        <v>551</v>
      </c>
      <c r="H24" s="24">
        <v>1</v>
      </c>
      <c r="I24" s="32">
        <v>2601.5</v>
      </c>
      <c r="J24" s="30">
        <v>36</v>
      </c>
      <c r="K24" s="29"/>
      <c r="L24" s="1" t="s">
        <v>9</v>
      </c>
    </row>
    <row r="25" spans="1:12">
      <c r="A25" s="1">
        <v>23</v>
      </c>
      <c r="B25" s="37" t="s">
        <v>286</v>
      </c>
      <c r="C25" s="1" t="s">
        <v>260</v>
      </c>
      <c r="D25" s="20" t="s">
        <v>267</v>
      </c>
      <c r="E25" s="23" t="s">
        <v>21</v>
      </c>
      <c r="F25" s="34">
        <v>1</v>
      </c>
      <c r="G25" s="29" t="s">
        <v>551</v>
      </c>
      <c r="H25" s="24">
        <v>1</v>
      </c>
      <c r="I25" s="32">
        <v>2601.5</v>
      </c>
      <c r="J25" s="30">
        <v>36</v>
      </c>
      <c r="K25" s="29"/>
      <c r="L25" s="1" t="s">
        <v>9</v>
      </c>
    </row>
    <row r="26" spans="1:12">
      <c r="A26" s="1">
        <v>24</v>
      </c>
      <c r="B26" s="37" t="s">
        <v>282</v>
      </c>
      <c r="C26" s="1" t="s">
        <v>260</v>
      </c>
      <c r="D26" s="20" t="s">
        <v>309</v>
      </c>
      <c r="E26" s="23" t="s">
        <v>21</v>
      </c>
      <c r="F26" s="34">
        <v>1</v>
      </c>
      <c r="G26" s="29" t="s">
        <v>301</v>
      </c>
      <c r="H26" s="24">
        <v>2</v>
      </c>
      <c r="I26" s="32">
        <v>2299</v>
      </c>
      <c r="J26" s="30">
        <v>36</v>
      </c>
      <c r="K26" s="29"/>
      <c r="L26" s="1" t="s">
        <v>9</v>
      </c>
    </row>
    <row r="27" spans="1:12">
      <c r="A27" s="1">
        <v>25</v>
      </c>
      <c r="B27" s="37" t="s">
        <v>291</v>
      </c>
      <c r="C27" s="1" t="s">
        <v>260</v>
      </c>
      <c r="D27" s="20" t="s">
        <v>38</v>
      </c>
      <c r="E27" s="23" t="s">
        <v>21</v>
      </c>
      <c r="F27" s="34">
        <v>1</v>
      </c>
      <c r="G27" s="29" t="s">
        <v>253</v>
      </c>
      <c r="H27" s="24">
        <v>1</v>
      </c>
      <c r="I27" s="32">
        <v>2299</v>
      </c>
      <c r="J27" s="30">
        <v>36</v>
      </c>
      <c r="K27" s="29"/>
      <c r="L27" s="1" t="s">
        <v>9</v>
      </c>
    </row>
    <row r="28" spans="1:12">
      <c r="A28" s="1">
        <v>26</v>
      </c>
      <c r="B28" s="37" t="s">
        <v>292</v>
      </c>
      <c r="C28" s="1" t="s">
        <v>260</v>
      </c>
      <c r="D28" s="20" t="s">
        <v>268</v>
      </c>
      <c r="E28" s="23" t="s">
        <v>19</v>
      </c>
      <c r="F28" s="34">
        <v>1</v>
      </c>
      <c r="G28" s="29" t="s">
        <v>307</v>
      </c>
      <c r="H28" s="24">
        <v>1</v>
      </c>
      <c r="I28" s="32">
        <v>2601.5</v>
      </c>
      <c r="J28" s="30">
        <v>26</v>
      </c>
      <c r="K28" s="29"/>
      <c r="L28" s="1" t="s">
        <v>9</v>
      </c>
    </row>
    <row r="29" spans="1:12">
      <c r="A29" s="1">
        <v>27</v>
      </c>
      <c r="B29" s="37" t="s">
        <v>293</v>
      </c>
      <c r="C29" s="1" t="s">
        <v>260</v>
      </c>
      <c r="D29" s="20" t="s">
        <v>269</v>
      </c>
      <c r="E29" s="23" t="s">
        <v>21</v>
      </c>
      <c r="F29" s="34">
        <v>2</v>
      </c>
      <c r="G29" s="29" t="s">
        <v>301</v>
      </c>
      <c r="H29" s="24">
        <v>12</v>
      </c>
      <c r="I29" s="32">
        <v>2299</v>
      </c>
      <c r="J29" s="30">
        <v>72</v>
      </c>
      <c r="K29" s="29"/>
      <c r="L29" s="1" t="s">
        <v>9</v>
      </c>
    </row>
    <row r="30" spans="1:12">
      <c r="A30" s="1">
        <v>28</v>
      </c>
      <c r="B30" s="37" t="s">
        <v>287</v>
      </c>
      <c r="C30" s="1" t="s">
        <v>260</v>
      </c>
      <c r="D30" s="20" t="s">
        <v>269</v>
      </c>
      <c r="E30" s="23" t="s">
        <v>21</v>
      </c>
      <c r="F30" s="34">
        <v>2</v>
      </c>
      <c r="G30" s="23" t="s">
        <v>281</v>
      </c>
      <c r="H30" s="24">
        <v>4</v>
      </c>
      <c r="I30" s="32">
        <v>2299</v>
      </c>
      <c r="J30" s="30">
        <v>72</v>
      </c>
      <c r="K30" s="29"/>
      <c r="L30" s="1" t="s">
        <v>9</v>
      </c>
    </row>
    <row r="31" spans="1:12">
      <c r="A31" s="1">
        <v>29</v>
      </c>
      <c r="B31" s="37" t="s">
        <v>287</v>
      </c>
      <c r="C31" s="1" t="s">
        <v>260</v>
      </c>
      <c r="D31" s="20" t="s">
        <v>270</v>
      </c>
      <c r="E31" s="23" t="s">
        <v>21</v>
      </c>
      <c r="F31" s="34">
        <v>2</v>
      </c>
      <c r="G31" s="23" t="s">
        <v>281</v>
      </c>
      <c r="H31" s="24">
        <v>68</v>
      </c>
      <c r="I31" s="32">
        <v>2299</v>
      </c>
      <c r="J31" s="30">
        <v>72</v>
      </c>
      <c r="K31" s="29"/>
      <c r="L31" s="1" t="s">
        <v>9</v>
      </c>
    </row>
    <row r="32" spans="1:12">
      <c r="A32" s="1">
        <v>30</v>
      </c>
      <c r="B32" s="37" t="s">
        <v>287</v>
      </c>
      <c r="C32" s="1" t="s">
        <v>260</v>
      </c>
      <c r="D32" s="20" t="s">
        <v>271</v>
      </c>
      <c r="E32" s="23" t="s">
        <v>21</v>
      </c>
      <c r="F32" s="34">
        <v>2</v>
      </c>
      <c r="G32" s="23" t="s">
        <v>281</v>
      </c>
      <c r="H32" s="24">
        <v>16</v>
      </c>
      <c r="I32" s="32">
        <v>2299</v>
      </c>
      <c r="J32" s="30">
        <v>72</v>
      </c>
      <c r="K32" s="29"/>
      <c r="L32" s="1" t="s">
        <v>9</v>
      </c>
    </row>
    <row r="33" spans="1:12">
      <c r="A33" s="1">
        <v>31</v>
      </c>
      <c r="B33" s="37" t="s">
        <v>294</v>
      </c>
      <c r="C33" s="1" t="s">
        <v>260</v>
      </c>
      <c r="D33" s="20" t="s">
        <v>272</v>
      </c>
      <c r="E33" s="23" t="s">
        <v>21</v>
      </c>
      <c r="F33" s="34">
        <v>1</v>
      </c>
      <c r="G33" s="29" t="s">
        <v>251</v>
      </c>
      <c r="H33" s="24">
        <v>8</v>
      </c>
      <c r="I33" s="32">
        <v>2299</v>
      </c>
      <c r="J33" s="30">
        <v>36</v>
      </c>
      <c r="K33" s="29"/>
      <c r="L33" s="1" t="s">
        <v>9</v>
      </c>
    </row>
    <row r="34" spans="1:12">
      <c r="A34" s="1">
        <v>32</v>
      </c>
      <c r="B34" s="37" t="s">
        <v>282</v>
      </c>
      <c r="C34" s="1" t="s">
        <v>260</v>
      </c>
      <c r="D34" s="20" t="s">
        <v>310</v>
      </c>
      <c r="E34" s="23" t="s">
        <v>21</v>
      </c>
      <c r="F34" s="34">
        <v>1</v>
      </c>
      <c r="G34" s="29" t="s">
        <v>301</v>
      </c>
      <c r="H34" s="24">
        <v>1</v>
      </c>
      <c r="I34" s="32">
        <v>2299</v>
      </c>
      <c r="J34" s="30">
        <v>36</v>
      </c>
      <c r="K34" s="29"/>
      <c r="L34" s="1" t="s">
        <v>9</v>
      </c>
    </row>
    <row r="35" spans="1:12">
      <c r="A35" s="1">
        <v>33</v>
      </c>
      <c r="B35" s="37"/>
      <c r="C35" s="1" t="s">
        <v>260</v>
      </c>
      <c r="D35" s="20" t="s">
        <v>310</v>
      </c>
      <c r="E35" s="23" t="s">
        <v>31</v>
      </c>
      <c r="F35" s="34">
        <v>1</v>
      </c>
      <c r="G35" s="29" t="s">
        <v>316</v>
      </c>
      <c r="H35" s="24">
        <v>3</v>
      </c>
      <c r="I35" s="32"/>
      <c r="J35" s="30"/>
      <c r="K35" s="29" t="s">
        <v>32</v>
      </c>
      <c r="L35" s="1" t="s">
        <v>9</v>
      </c>
    </row>
    <row r="36" spans="1:12">
      <c r="A36" s="1">
        <v>34</v>
      </c>
      <c r="B36" s="37" t="s">
        <v>282</v>
      </c>
      <c r="C36" s="1" t="s">
        <v>260</v>
      </c>
      <c r="D36" s="20" t="s">
        <v>311</v>
      </c>
      <c r="E36" s="23" t="s">
        <v>21</v>
      </c>
      <c r="F36" s="34">
        <v>1</v>
      </c>
      <c r="G36" s="29" t="s">
        <v>301</v>
      </c>
      <c r="H36" s="24">
        <v>1</v>
      </c>
      <c r="I36" s="32">
        <v>2299</v>
      </c>
      <c r="J36" s="30">
        <v>36</v>
      </c>
      <c r="K36" s="29"/>
      <c r="L36" s="1" t="s">
        <v>9</v>
      </c>
    </row>
    <row r="37" spans="1:12">
      <c r="A37" s="1">
        <v>35</v>
      </c>
      <c r="B37" s="37"/>
      <c r="C37" s="1" t="s">
        <v>260</v>
      </c>
      <c r="D37" s="20" t="s">
        <v>311</v>
      </c>
      <c r="E37" s="23" t="s">
        <v>31</v>
      </c>
      <c r="F37" s="34">
        <v>1</v>
      </c>
      <c r="G37" s="29" t="s">
        <v>316</v>
      </c>
      <c r="H37" s="24">
        <v>2</v>
      </c>
      <c r="I37" s="32"/>
      <c r="J37" s="30"/>
      <c r="K37" s="29" t="s">
        <v>32</v>
      </c>
      <c r="L37" s="1" t="s">
        <v>9</v>
      </c>
    </row>
    <row r="38" spans="1:12">
      <c r="A38" s="1">
        <v>36</v>
      </c>
      <c r="B38" s="37" t="s">
        <v>283</v>
      </c>
      <c r="C38" s="1" t="s">
        <v>260</v>
      </c>
      <c r="D38" s="20" t="s">
        <v>273</v>
      </c>
      <c r="E38" s="23" t="s">
        <v>21</v>
      </c>
      <c r="F38" s="34">
        <v>1</v>
      </c>
      <c r="G38" s="29" t="s">
        <v>302</v>
      </c>
      <c r="H38" s="24">
        <v>3</v>
      </c>
      <c r="I38" s="32">
        <v>2601.5</v>
      </c>
      <c r="J38" s="30">
        <v>36</v>
      </c>
      <c r="K38" s="29"/>
      <c r="L38" s="1" t="s">
        <v>9</v>
      </c>
    </row>
    <row r="39" spans="1:12">
      <c r="A39" s="1">
        <v>37</v>
      </c>
      <c r="B39" s="37" t="s">
        <v>285</v>
      </c>
      <c r="C39" s="1" t="s">
        <v>260</v>
      </c>
      <c r="D39" s="20" t="s">
        <v>274</v>
      </c>
      <c r="E39" s="23" t="s">
        <v>21</v>
      </c>
      <c r="F39" s="34">
        <v>1</v>
      </c>
      <c r="G39" s="29" t="s">
        <v>551</v>
      </c>
      <c r="H39" s="24">
        <v>1</v>
      </c>
      <c r="I39" s="32">
        <v>2601.5</v>
      </c>
      <c r="J39" s="30">
        <v>36</v>
      </c>
      <c r="K39" s="29"/>
      <c r="L39" s="1" t="s">
        <v>9</v>
      </c>
    </row>
    <row r="40" spans="1:12" s="10" customFormat="1">
      <c r="A40" s="1">
        <v>38</v>
      </c>
      <c r="B40" s="37" t="s">
        <v>286</v>
      </c>
      <c r="C40" s="1" t="s">
        <v>260</v>
      </c>
      <c r="D40" s="20" t="s">
        <v>274</v>
      </c>
      <c r="E40" s="23" t="s">
        <v>21</v>
      </c>
      <c r="F40" s="34">
        <v>1</v>
      </c>
      <c r="G40" s="29" t="s">
        <v>551</v>
      </c>
      <c r="H40" s="24">
        <v>1</v>
      </c>
      <c r="I40" s="32">
        <v>2601.5</v>
      </c>
      <c r="J40" s="30">
        <v>36</v>
      </c>
      <c r="K40" s="29"/>
      <c r="L40" s="1" t="s">
        <v>9</v>
      </c>
    </row>
    <row r="41" spans="1:12">
      <c r="A41" s="1">
        <v>39</v>
      </c>
      <c r="B41" s="37" t="s">
        <v>282</v>
      </c>
      <c r="C41" s="1" t="s">
        <v>260</v>
      </c>
      <c r="D41" s="20" t="s">
        <v>312</v>
      </c>
      <c r="E41" s="23" t="s">
        <v>21</v>
      </c>
      <c r="F41" s="34">
        <v>1</v>
      </c>
      <c r="G41" s="29" t="s">
        <v>301</v>
      </c>
      <c r="H41" s="24">
        <v>1</v>
      </c>
      <c r="I41" s="32">
        <v>2601.5</v>
      </c>
      <c r="J41" s="30">
        <v>36</v>
      </c>
      <c r="K41" s="29"/>
      <c r="L41" s="1" t="s">
        <v>9</v>
      </c>
    </row>
    <row r="42" spans="1:12">
      <c r="A42" s="1">
        <v>40</v>
      </c>
      <c r="B42" s="37" t="s">
        <v>282</v>
      </c>
      <c r="C42" s="1" t="s">
        <v>260</v>
      </c>
      <c r="D42" s="20" t="s">
        <v>313</v>
      </c>
      <c r="E42" s="23" t="s">
        <v>21</v>
      </c>
      <c r="F42" s="34">
        <v>1</v>
      </c>
      <c r="G42" s="29" t="s">
        <v>301</v>
      </c>
      <c r="H42" s="24">
        <v>1</v>
      </c>
      <c r="I42" s="32">
        <v>2299</v>
      </c>
      <c r="J42" s="30">
        <v>36</v>
      </c>
      <c r="K42" s="29"/>
      <c r="L42" s="1" t="s">
        <v>9</v>
      </c>
    </row>
    <row r="43" spans="1:12">
      <c r="A43" s="1">
        <v>41</v>
      </c>
      <c r="B43" s="37" t="s">
        <v>284</v>
      </c>
      <c r="C43" s="1" t="s">
        <v>260</v>
      </c>
      <c r="D43" s="20" t="s">
        <v>61</v>
      </c>
      <c r="E43" s="23" t="s">
        <v>19</v>
      </c>
      <c r="F43" s="34">
        <v>1</v>
      </c>
      <c r="G43" s="29" t="s">
        <v>303</v>
      </c>
      <c r="H43" s="24">
        <v>1</v>
      </c>
      <c r="I43" s="32">
        <v>2299</v>
      </c>
      <c r="J43" s="30">
        <v>26</v>
      </c>
      <c r="K43" s="29"/>
      <c r="L43" s="1" t="s">
        <v>9</v>
      </c>
    </row>
    <row r="44" spans="1:12">
      <c r="A44" s="1">
        <v>42</v>
      </c>
      <c r="B44" s="37" t="s">
        <v>287</v>
      </c>
      <c r="C44" s="1" t="s">
        <v>260</v>
      </c>
      <c r="D44" s="20" t="s">
        <v>275</v>
      </c>
      <c r="E44" s="23" t="s">
        <v>21</v>
      </c>
      <c r="F44" s="34">
        <v>2</v>
      </c>
      <c r="G44" s="29" t="s">
        <v>305</v>
      </c>
      <c r="H44" s="24">
        <v>48</v>
      </c>
      <c r="I44" s="32">
        <v>2299</v>
      </c>
      <c r="J44" s="30">
        <v>72</v>
      </c>
      <c r="K44" s="29"/>
      <c r="L44" s="1" t="s">
        <v>9</v>
      </c>
    </row>
    <row r="45" spans="1:12">
      <c r="A45" s="1">
        <v>43</v>
      </c>
      <c r="B45" s="37" t="s">
        <v>282</v>
      </c>
      <c r="C45" s="1" t="s">
        <v>260</v>
      </c>
      <c r="D45" s="20" t="s">
        <v>276</v>
      </c>
      <c r="E45" s="23" t="s">
        <v>21</v>
      </c>
      <c r="F45" s="34">
        <v>1</v>
      </c>
      <c r="G45" s="29" t="s">
        <v>301</v>
      </c>
      <c r="H45" s="24">
        <v>4</v>
      </c>
      <c r="I45" s="32">
        <v>2299</v>
      </c>
      <c r="J45" s="30">
        <v>36</v>
      </c>
      <c r="K45" s="29"/>
      <c r="L45" s="1" t="s">
        <v>9</v>
      </c>
    </row>
    <row r="46" spans="1:12">
      <c r="A46" s="1">
        <v>44</v>
      </c>
      <c r="B46" s="37" t="s">
        <v>295</v>
      </c>
      <c r="C46" s="1" t="s">
        <v>260</v>
      </c>
      <c r="D46" s="20" t="s">
        <v>277</v>
      </c>
      <c r="E46" s="23" t="s">
        <v>21</v>
      </c>
      <c r="F46" s="34">
        <v>2</v>
      </c>
      <c r="G46" s="29" t="s">
        <v>308</v>
      </c>
      <c r="H46" s="24">
        <v>3</v>
      </c>
      <c r="I46" s="32">
        <v>2299</v>
      </c>
      <c r="J46" s="30">
        <v>72</v>
      </c>
      <c r="K46" s="29"/>
      <c r="L46" s="1" t="s">
        <v>9</v>
      </c>
    </row>
    <row r="47" spans="1:12">
      <c r="A47" s="1">
        <v>45</v>
      </c>
      <c r="B47" s="37" t="s">
        <v>294</v>
      </c>
      <c r="C47" s="1" t="s">
        <v>260</v>
      </c>
      <c r="D47" s="20" t="s">
        <v>314</v>
      </c>
      <c r="E47" s="23" t="s">
        <v>21</v>
      </c>
      <c r="F47" s="33">
        <v>1</v>
      </c>
      <c r="G47" s="29" t="s">
        <v>251</v>
      </c>
      <c r="H47" s="24">
        <v>2</v>
      </c>
      <c r="I47" s="32">
        <v>2299</v>
      </c>
      <c r="J47" s="30">
        <v>36</v>
      </c>
      <c r="K47" s="29"/>
      <c r="L47" s="1" t="s">
        <v>9</v>
      </c>
    </row>
    <row r="48" spans="1:12">
      <c r="A48" s="1">
        <v>46</v>
      </c>
      <c r="B48" s="37" t="s">
        <v>291</v>
      </c>
      <c r="C48" s="1" t="s">
        <v>260</v>
      </c>
      <c r="D48" s="20" t="s">
        <v>64</v>
      </c>
      <c r="E48" s="23" t="s">
        <v>21</v>
      </c>
      <c r="F48" s="33">
        <v>1</v>
      </c>
      <c r="G48" s="19" t="s">
        <v>253</v>
      </c>
      <c r="H48" s="24">
        <v>1</v>
      </c>
      <c r="I48" s="32">
        <v>2299</v>
      </c>
      <c r="J48" s="30">
        <v>36</v>
      </c>
      <c r="K48" s="12"/>
      <c r="L48" s="1" t="s">
        <v>9</v>
      </c>
    </row>
    <row r="49" spans="1:12">
      <c r="A49" s="1">
        <v>47</v>
      </c>
      <c r="B49" s="37" t="s">
        <v>292</v>
      </c>
      <c r="C49" s="1" t="s">
        <v>260</v>
      </c>
      <c r="D49" s="20" t="s">
        <v>278</v>
      </c>
      <c r="E49" s="23" t="s">
        <v>19</v>
      </c>
      <c r="F49" s="34">
        <v>1</v>
      </c>
      <c r="G49" s="29" t="s">
        <v>307</v>
      </c>
      <c r="H49" s="24">
        <v>1</v>
      </c>
      <c r="I49" s="32">
        <v>2601.5</v>
      </c>
      <c r="J49" s="30">
        <v>26</v>
      </c>
      <c r="K49" s="29"/>
      <c r="L49" s="1" t="s">
        <v>9</v>
      </c>
    </row>
    <row r="50" spans="1:12">
      <c r="A50" s="1">
        <v>48</v>
      </c>
      <c r="B50" s="37" t="s">
        <v>283</v>
      </c>
      <c r="C50" s="1" t="s">
        <v>260</v>
      </c>
      <c r="D50" s="20" t="s">
        <v>65</v>
      </c>
      <c r="E50" s="23" t="s">
        <v>21</v>
      </c>
      <c r="F50" s="33">
        <v>1</v>
      </c>
      <c r="G50" s="19" t="s">
        <v>302</v>
      </c>
      <c r="H50" s="24">
        <v>2</v>
      </c>
      <c r="I50" s="32">
        <v>2299</v>
      </c>
      <c r="J50" s="30">
        <v>36</v>
      </c>
      <c r="K50" s="12"/>
      <c r="L50" s="1" t="s">
        <v>9</v>
      </c>
    </row>
    <row r="51" spans="1:12">
      <c r="A51" s="1">
        <v>49</v>
      </c>
      <c r="B51" s="37"/>
      <c r="C51" s="1" t="s">
        <v>260</v>
      </c>
      <c r="D51" s="20" t="s">
        <v>65</v>
      </c>
      <c r="E51" s="23" t="s">
        <v>72</v>
      </c>
      <c r="F51" s="33">
        <v>1</v>
      </c>
      <c r="G51" s="19" t="s">
        <v>73</v>
      </c>
      <c r="H51" s="24">
        <v>1</v>
      </c>
      <c r="I51" s="32"/>
      <c r="J51" s="30">
        <v>60</v>
      </c>
      <c r="K51" s="12"/>
      <c r="L51" s="1" t="s">
        <v>9</v>
      </c>
    </row>
    <row r="52" spans="1:12">
      <c r="A52" s="1">
        <v>50</v>
      </c>
      <c r="B52" s="37" t="s">
        <v>285</v>
      </c>
      <c r="C52" s="1" t="s">
        <v>260</v>
      </c>
      <c r="D52" s="20" t="s">
        <v>279</v>
      </c>
      <c r="E52" s="23" t="s">
        <v>21</v>
      </c>
      <c r="F52" s="34">
        <v>1</v>
      </c>
      <c r="G52" s="23" t="s">
        <v>551</v>
      </c>
      <c r="H52" s="24">
        <v>1</v>
      </c>
      <c r="I52" s="32">
        <v>2601.5</v>
      </c>
      <c r="J52" s="30">
        <v>36</v>
      </c>
      <c r="K52" s="12"/>
      <c r="L52" s="1" t="s">
        <v>9</v>
      </c>
    </row>
    <row r="53" spans="1:12">
      <c r="A53" s="1">
        <v>51</v>
      </c>
      <c r="B53" s="37" t="s">
        <v>286</v>
      </c>
      <c r="C53" s="1" t="s">
        <v>260</v>
      </c>
      <c r="D53" s="20" t="s">
        <v>279</v>
      </c>
      <c r="E53" s="23" t="s">
        <v>21</v>
      </c>
      <c r="F53" s="34">
        <v>1</v>
      </c>
      <c r="G53" s="23" t="s">
        <v>551</v>
      </c>
      <c r="H53" s="24">
        <v>1</v>
      </c>
      <c r="I53" s="32">
        <v>2601.5</v>
      </c>
      <c r="J53" s="30">
        <v>36</v>
      </c>
      <c r="K53" s="12"/>
      <c r="L53" s="1" t="s">
        <v>9</v>
      </c>
    </row>
    <row r="54" spans="1:12">
      <c r="A54" s="1">
        <v>52</v>
      </c>
      <c r="B54" s="37" t="s">
        <v>296</v>
      </c>
      <c r="C54" s="1" t="s">
        <v>260</v>
      </c>
      <c r="D54" s="20" t="s">
        <v>280</v>
      </c>
      <c r="E54" s="23" t="s">
        <v>317</v>
      </c>
      <c r="F54" s="33">
        <v>1</v>
      </c>
      <c r="G54" s="19" t="s">
        <v>73</v>
      </c>
      <c r="H54" s="24">
        <v>79</v>
      </c>
      <c r="I54" s="32">
        <v>2299</v>
      </c>
      <c r="J54" s="30">
        <v>330</v>
      </c>
      <c r="K54" s="61" t="s">
        <v>579</v>
      </c>
      <c r="L54" s="1" t="s">
        <v>9</v>
      </c>
    </row>
    <row r="55" spans="1:12">
      <c r="A55" s="1">
        <v>53</v>
      </c>
      <c r="B55" s="37" t="s">
        <v>287</v>
      </c>
      <c r="C55" s="1" t="s">
        <v>260</v>
      </c>
      <c r="D55" s="20" t="s">
        <v>275</v>
      </c>
      <c r="E55" s="23" t="s">
        <v>21</v>
      </c>
      <c r="F55" s="33">
        <v>2</v>
      </c>
      <c r="G55" s="23" t="s">
        <v>281</v>
      </c>
      <c r="H55" s="24">
        <v>120</v>
      </c>
      <c r="I55" s="32">
        <v>2299</v>
      </c>
      <c r="J55" s="30">
        <v>71</v>
      </c>
      <c r="K55" s="12"/>
      <c r="L55" s="1" t="s">
        <v>9</v>
      </c>
    </row>
    <row r="56" spans="1:12">
      <c r="A56" s="7"/>
      <c r="B56" s="22"/>
      <c r="C56" s="7"/>
      <c r="D56" s="21"/>
      <c r="E56" s="22"/>
      <c r="F56" s="35"/>
      <c r="G56" s="21"/>
      <c r="H56" s="22">
        <f>SUM(H3:H55)</f>
        <v>566</v>
      </c>
      <c r="I56" s="21"/>
      <c r="J56" s="22"/>
      <c r="K56" s="22"/>
      <c r="L56" s="7"/>
    </row>
    <row r="57" spans="1:12">
      <c r="C57" s="7"/>
      <c r="D57" s="21"/>
      <c r="E57" s="22"/>
      <c r="F57" s="35"/>
      <c r="G57" s="21"/>
      <c r="H57" s="22"/>
      <c r="I57" s="21"/>
      <c r="J57" s="22"/>
      <c r="K57" s="22"/>
      <c r="L57" s="7"/>
    </row>
    <row r="58" spans="1:12">
      <c r="A58" t="s">
        <v>77</v>
      </c>
    </row>
    <row r="59" spans="1:12">
      <c r="A59" s="1">
        <v>54</v>
      </c>
      <c r="B59" s="29" t="s">
        <v>67</v>
      </c>
      <c r="C59" s="2" t="s">
        <v>260</v>
      </c>
      <c r="D59" s="29" t="s">
        <v>57</v>
      </c>
      <c r="E59" s="19" t="s">
        <v>97</v>
      </c>
      <c r="F59" s="33">
        <v>1</v>
      </c>
      <c r="G59" s="19" t="s">
        <v>594</v>
      </c>
      <c r="H59" s="19">
        <v>1</v>
      </c>
      <c r="I59" s="29">
        <v>8760</v>
      </c>
      <c r="J59" s="19">
        <v>4</v>
      </c>
      <c r="K59" s="12"/>
      <c r="L59" s="1" t="s">
        <v>9</v>
      </c>
    </row>
    <row r="60" spans="1:12">
      <c r="A60" s="1">
        <v>55</v>
      </c>
      <c r="B60" s="29" t="s">
        <v>69</v>
      </c>
      <c r="C60" s="2" t="s">
        <v>260</v>
      </c>
      <c r="D60" s="29" t="s">
        <v>39</v>
      </c>
      <c r="E60" s="19" t="s">
        <v>97</v>
      </c>
      <c r="F60" s="33">
        <v>1</v>
      </c>
      <c r="G60" s="19" t="s">
        <v>594</v>
      </c>
      <c r="H60" s="19">
        <v>1</v>
      </c>
      <c r="I60" s="29">
        <v>8760</v>
      </c>
      <c r="J60" s="19">
        <v>4</v>
      </c>
      <c r="K60" s="12"/>
      <c r="L60" s="1" t="s">
        <v>9</v>
      </c>
    </row>
    <row r="61" spans="1:12">
      <c r="A61" s="1">
        <v>56</v>
      </c>
      <c r="B61" s="29" t="s">
        <v>67</v>
      </c>
      <c r="C61" s="2" t="s">
        <v>260</v>
      </c>
      <c r="D61" s="29" t="s">
        <v>45</v>
      </c>
      <c r="E61" s="19" t="s">
        <v>97</v>
      </c>
      <c r="F61" s="33">
        <v>1</v>
      </c>
      <c r="G61" s="19" t="s">
        <v>594</v>
      </c>
      <c r="H61" s="19">
        <v>1</v>
      </c>
      <c r="I61" s="29">
        <v>8760</v>
      </c>
      <c r="J61" s="19">
        <v>4</v>
      </c>
      <c r="K61" s="12"/>
      <c r="L61" s="1" t="s">
        <v>9</v>
      </c>
    </row>
    <row r="62" spans="1:12">
      <c r="A62" s="1">
        <v>57</v>
      </c>
      <c r="B62" s="29" t="s">
        <v>68</v>
      </c>
      <c r="C62" s="2" t="s">
        <v>260</v>
      </c>
      <c r="D62" s="29" t="s">
        <v>45</v>
      </c>
      <c r="E62" s="19" t="s">
        <v>98</v>
      </c>
      <c r="F62" s="33">
        <v>1</v>
      </c>
      <c r="G62" s="19" t="s">
        <v>594</v>
      </c>
      <c r="H62" s="19">
        <v>1</v>
      </c>
      <c r="I62" s="29">
        <v>8760</v>
      </c>
      <c r="J62" s="19">
        <v>4</v>
      </c>
      <c r="K62" s="12"/>
      <c r="L62" s="1" t="s">
        <v>9</v>
      </c>
    </row>
    <row r="63" spans="1:12">
      <c r="A63" s="1">
        <v>58</v>
      </c>
      <c r="B63" s="29" t="s">
        <v>67</v>
      </c>
      <c r="C63" s="2" t="s">
        <v>260</v>
      </c>
      <c r="D63" s="29" t="s">
        <v>65</v>
      </c>
      <c r="E63" s="19" t="s">
        <v>97</v>
      </c>
      <c r="F63" s="33">
        <v>1</v>
      </c>
      <c r="G63" s="19" t="s">
        <v>594</v>
      </c>
      <c r="H63" s="19">
        <v>1</v>
      </c>
      <c r="I63" s="29">
        <v>8760</v>
      </c>
      <c r="J63" s="19">
        <v>4</v>
      </c>
      <c r="K63" s="12"/>
      <c r="L63" s="1" t="s">
        <v>9</v>
      </c>
    </row>
    <row r="64" spans="1:12">
      <c r="A64" s="1">
        <v>59</v>
      </c>
      <c r="B64" s="29" t="s">
        <v>69</v>
      </c>
      <c r="C64" s="2" t="s">
        <v>260</v>
      </c>
      <c r="D64" s="29" t="s">
        <v>49</v>
      </c>
      <c r="E64" s="19" t="s">
        <v>97</v>
      </c>
      <c r="F64" s="33">
        <v>1</v>
      </c>
      <c r="G64" s="19" t="s">
        <v>594</v>
      </c>
      <c r="H64" s="19">
        <v>1</v>
      </c>
      <c r="I64" s="29">
        <v>8760</v>
      </c>
      <c r="J64" s="19">
        <v>4</v>
      </c>
      <c r="K64" s="12"/>
      <c r="L64" s="1" t="s">
        <v>9</v>
      </c>
    </row>
    <row r="65" spans="1:12">
      <c r="A65" s="1">
        <v>60</v>
      </c>
      <c r="B65" s="29" t="s">
        <v>67</v>
      </c>
      <c r="C65" s="2" t="s">
        <v>260</v>
      </c>
      <c r="D65" s="29" t="s">
        <v>23</v>
      </c>
      <c r="E65" s="19" t="s">
        <v>97</v>
      </c>
      <c r="F65" s="33">
        <v>1</v>
      </c>
      <c r="G65" s="19" t="s">
        <v>594</v>
      </c>
      <c r="H65" s="19">
        <v>1</v>
      </c>
      <c r="I65" s="29">
        <v>8760</v>
      </c>
      <c r="J65" s="19">
        <v>4</v>
      </c>
      <c r="K65" s="12"/>
      <c r="L65" s="1" t="s">
        <v>9</v>
      </c>
    </row>
    <row r="66" spans="1:12">
      <c r="A66" s="1">
        <v>61</v>
      </c>
      <c r="B66" s="29" t="s">
        <v>68</v>
      </c>
      <c r="C66" s="2" t="s">
        <v>260</v>
      </c>
      <c r="D66" s="29" t="s">
        <v>23</v>
      </c>
      <c r="E66" s="19" t="s">
        <v>98</v>
      </c>
      <c r="F66" s="33">
        <v>1</v>
      </c>
      <c r="G66" s="19" t="s">
        <v>594</v>
      </c>
      <c r="H66" s="19">
        <v>1</v>
      </c>
      <c r="I66" s="29">
        <v>8760</v>
      </c>
      <c r="J66" s="19">
        <v>4</v>
      </c>
      <c r="K66" s="12"/>
      <c r="L66" s="1" t="s">
        <v>9</v>
      </c>
    </row>
    <row r="67" spans="1:12">
      <c r="A67" s="1">
        <v>62</v>
      </c>
      <c r="B67" s="19" t="s">
        <v>67</v>
      </c>
      <c r="C67" s="1" t="s">
        <v>260</v>
      </c>
      <c r="D67" s="19" t="s">
        <v>11</v>
      </c>
      <c r="E67" s="19" t="s">
        <v>97</v>
      </c>
      <c r="F67" s="33">
        <v>1</v>
      </c>
      <c r="G67" s="19" t="s">
        <v>594</v>
      </c>
      <c r="H67" s="19">
        <v>1</v>
      </c>
      <c r="I67" s="29">
        <v>8760</v>
      </c>
      <c r="J67" s="19">
        <v>4</v>
      </c>
      <c r="K67" s="12"/>
      <c r="L67" s="1" t="s">
        <v>9</v>
      </c>
    </row>
    <row r="68" spans="1:12">
      <c r="A68" s="1">
        <v>63</v>
      </c>
      <c r="B68" s="19" t="s">
        <v>68</v>
      </c>
      <c r="C68" s="1" t="s">
        <v>260</v>
      </c>
      <c r="D68" s="19" t="s">
        <v>11</v>
      </c>
      <c r="E68" s="19" t="s">
        <v>98</v>
      </c>
      <c r="F68" s="33">
        <v>1</v>
      </c>
      <c r="G68" s="19" t="s">
        <v>594</v>
      </c>
      <c r="H68" s="19">
        <v>8</v>
      </c>
      <c r="I68" s="29">
        <v>8760</v>
      </c>
      <c r="J68" s="19">
        <v>4</v>
      </c>
      <c r="K68" s="12"/>
      <c r="L68" s="1" t="s">
        <v>9</v>
      </c>
    </row>
    <row r="69" spans="1:12">
      <c r="A69" s="1">
        <v>64</v>
      </c>
      <c r="B69" s="19" t="s">
        <v>69</v>
      </c>
      <c r="C69" s="1" t="s">
        <v>260</v>
      </c>
      <c r="D69" s="19" t="s">
        <v>11</v>
      </c>
      <c r="E69" s="19" t="s">
        <v>97</v>
      </c>
      <c r="F69" s="33">
        <v>1</v>
      </c>
      <c r="G69" s="19" t="s">
        <v>594</v>
      </c>
      <c r="H69" s="19">
        <v>1</v>
      </c>
      <c r="I69" s="29">
        <v>8760</v>
      </c>
      <c r="J69" s="19">
        <v>4</v>
      </c>
      <c r="K69" s="12"/>
      <c r="L69" s="1" t="s">
        <v>9</v>
      </c>
    </row>
    <row r="70" spans="1:12">
      <c r="A70" s="7"/>
      <c r="B70" s="22"/>
      <c r="C70" s="7"/>
      <c r="D70" s="22"/>
      <c r="E70" s="22"/>
      <c r="F70" s="36"/>
      <c r="G70" s="22"/>
      <c r="H70" s="22">
        <f>SUM(H59:H69)</f>
        <v>18</v>
      </c>
      <c r="I70" s="21"/>
      <c r="J70" s="22"/>
      <c r="K70" s="22"/>
      <c r="L70" s="7"/>
    </row>
    <row r="72" spans="1:12" ht="17.25" customHeight="1">
      <c r="A72" t="s">
        <v>70</v>
      </c>
    </row>
    <row r="73" spans="1:12">
      <c r="A73" s="1">
        <v>65</v>
      </c>
      <c r="B73" s="19"/>
      <c r="C73" s="1" t="s">
        <v>260</v>
      </c>
      <c r="D73" s="19" t="s">
        <v>71</v>
      </c>
      <c r="E73" s="19" t="s">
        <v>72</v>
      </c>
      <c r="F73" s="33">
        <v>1</v>
      </c>
      <c r="G73" s="19" t="s">
        <v>585</v>
      </c>
      <c r="H73" s="19">
        <v>111</v>
      </c>
      <c r="I73" s="29">
        <v>0</v>
      </c>
      <c r="J73" s="19">
        <v>60</v>
      </c>
      <c r="K73" s="12"/>
      <c r="L73" s="1" t="s">
        <v>9</v>
      </c>
    </row>
    <row r="74" spans="1:12">
      <c r="A74" s="1">
        <v>66</v>
      </c>
      <c r="B74" s="19" t="s">
        <v>581</v>
      </c>
      <c r="C74" s="1" t="s">
        <v>260</v>
      </c>
      <c r="D74" s="19" t="s">
        <v>71</v>
      </c>
      <c r="E74" s="19" t="s">
        <v>218</v>
      </c>
      <c r="F74" s="33">
        <v>1</v>
      </c>
      <c r="G74" s="19" t="s">
        <v>585</v>
      </c>
      <c r="H74" s="19">
        <v>1</v>
      </c>
      <c r="I74" s="29">
        <v>0</v>
      </c>
      <c r="J74" s="12">
        <v>40</v>
      </c>
      <c r="K74" s="19"/>
      <c r="L74" s="1" t="s">
        <v>9</v>
      </c>
    </row>
    <row r="75" spans="1:12">
      <c r="C75" s="18"/>
      <c r="F75" s="18"/>
      <c r="H75" s="18">
        <f>SUM(H73:H74)</f>
        <v>112</v>
      </c>
      <c r="J75" s="11"/>
      <c r="K75" s="18"/>
    </row>
  </sheetData>
  <phoneticPr fontId="2"/>
  <dataValidations count="1">
    <dataValidation allowBlank="1" showInputMessage="1" showErrorMessage="1" sqref="G15 G30:G32 G55 G52:G53 D3:E55" xr:uid="{3208839C-8459-4525-B575-18FD839B560E}"/>
  </dataValidations>
  <pageMargins left="0.7" right="0.7" top="0.75" bottom="0.75" header="0.3" footer="0.3"/>
  <pageSetup paperSize="8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opLeftCell="A64" workbookViewId="0">
      <selection activeCell="C13" sqref="C13"/>
    </sheetView>
  </sheetViews>
  <sheetFormatPr defaultRowHeight="17.649999999999999"/>
  <cols>
    <col min="1" max="1" width="4.4375" customWidth="1"/>
    <col min="2" max="2" width="8.25" bestFit="1" customWidth="1"/>
    <col min="3" max="3" width="4.5" customWidth="1"/>
    <col min="4" max="4" width="23" bestFit="1" customWidth="1"/>
    <col min="5" max="5" width="21.375" bestFit="1" customWidth="1"/>
    <col min="6" max="6" width="4.625" bestFit="1" customWidth="1"/>
    <col min="7" max="7" width="23.9375" customWidth="1"/>
    <col min="8" max="8" width="5.1875" bestFit="1" customWidth="1"/>
    <col min="9" max="9" width="12.9375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" t="s">
        <v>14</v>
      </c>
      <c r="C2" s="1" t="s">
        <v>1</v>
      </c>
      <c r="D2" s="1" t="s">
        <v>13</v>
      </c>
      <c r="E2" s="1" t="s">
        <v>2</v>
      </c>
      <c r="F2" s="1" t="s">
        <v>3</v>
      </c>
      <c r="G2" s="1" t="s">
        <v>6</v>
      </c>
      <c r="H2" s="1" t="s">
        <v>4</v>
      </c>
      <c r="I2" s="1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1" t="s">
        <v>20</v>
      </c>
      <c r="C3" s="1" t="s">
        <v>17</v>
      </c>
      <c r="D3" s="1" t="s">
        <v>18</v>
      </c>
      <c r="E3" s="1" t="s">
        <v>21</v>
      </c>
      <c r="F3" s="4">
        <v>1</v>
      </c>
      <c r="G3" s="1" t="s">
        <v>91</v>
      </c>
      <c r="H3" s="1">
        <v>1</v>
      </c>
      <c r="I3" s="1">
        <v>242</v>
      </c>
      <c r="J3" s="1">
        <v>36</v>
      </c>
      <c r="K3" s="1"/>
      <c r="L3" s="1" t="s">
        <v>9</v>
      </c>
    </row>
    <row r="4" spans="1:12">
      <c r="A4" s="1">
        <v>2</v>
      </c>
      <c r="B4" s="1" t="s">
        <v>20</v>
      </c>
      <c r="C4" s="1" t="s">
        <v>17</v>
      </c>
      <c r="D4" s="1" t="s">
        <v>22</v>
      </c>
      <c r="E4" s="1" t="s">
        <v>21</v>
      </c>
      <c r="F4" s="4">
        <v>1</v>
      </c>
      <c r="G4" s="1" t="s">
        <v>91</v>
      </c>
      <c r="H4" s="1">
        <v>1</v>
      </c>
      <c r="I4" s="1">
        <v>242</v>
      </c>
      <c r="J4" s="1">
        <v>36</v>
      </c>
      <c r="K4" s="1"/>
      <c r="L4" s="1" t="s">
        <v>9</v>
      </c>
    </row>
    <row r="5" spans="1:12">
      <c r="A5" s="1">
        <v>3</v>
      </c>
      <c r="B5" s="1" t="s">
        <v>28</v>
      </c>
      <c r="C5" s="1" t="s">
        <v>17</v>
      </c>
      <c r="D5" s="1" t="s">
        <v>23</v>
      </c>
      <c r="E5" s="1" t="s">
        <v>21</v>
      </c>
      <c r="F5" s="4">
        <v>1</v>
      </c>
      <c r="G5" s="1" t="s">
        <v>29</v>
      </c>
      <c r="H5" s="1">
        <v>3</v>
      </c>
      <c r="I5" s="1"/>
      <c r="J5" s="1">
        <v>36</v>
      </c>
      <c r="K5" s="1"/>
      <c r="L5" s="1" t="s">
        <v>9</v>
      </c>
    </row>
    <row r="6" spans="1:12">
      <c r="A6" s="1">
        <v>4</v>
      </c>
      <c r="B6" s="1" t="s">
        <v>78</v>
      </c>
      <c r="C6" s="1" t="s">
        <v>16</v>
      </c>
      <c r="D6" s="1" t="s">
        <v>24</v>
      </c>
      <c r="E6" s="1" t="s">
        <v>19</v>
      </c>
      <c r="F6" s="4">
        <v>1</v>
      </c>
      <c r="G6" s="1" t="s">
        <v>30</v>
      </c>
      <c r="H6" s="1">
        <v>1</v>
      </c>
      <c r="I6" s="1"/>
      <c r="J6" s="1">
        <v>26</v>
      </c>
      <c r="K6" s="1"/>
      <c r="L6" s="1" t="s">
        <v>9</v>
      </c>
    </row>
    <row r="7" spans="1:12">
      <c r="A7" s="1">
        <v>5</v>
      </c>
      <c r="B7" s="1" t="s">
        <v>79</v>
      </c>
      <c r="C7" s="1" t="s">
        <v>16</v>
      </c>
      <c r="D7" s="1" t="s">
        <v>25</v>
      </c>
      <c r="E7" s="1" t="s">
        <v>21</v>
      </c>
      <c r="F7" s="4">
        <v>1</v>
      </c>
      <c r="G7" s="1" t="s">
        <v>553</v>
      </c>
      <c r="H7" s="1">
        <v>1</v>
      </c>
      <c r="I7" s="1"/>
      <c r="J7" s="1">
        <v>36</v>
      </c>
      <c r="K7" s="1"/>
      <c r="L7" s="1" t="s">
        <v>9</v>
      </c>
    </row>
    <row r="8" spans="1:12">
      <c r="A8" s="1">
        <v>6</v>
      </c>
      <c r="B8" s="1" t="s">
        <v>80</v>
      </c>
      <c r="C8" s="1" t="s">
        <v>16</v>
      </c>
      <c r="D8" s="1" t="s">
        <v>25</v>
      </c>
      <c r="E8" s="1" t="s">
        <v>21</v>
      </c>
      <c r="F8" s="4">
        <v>1</v>
      </c>
      <c r="G8" s="1" t="s">
        <v>553</v>
      </c>
      <c r="H8" s="1">
        <v>1</v>
      </c>
      <c r="I8" s="1"/>
      <c r="J8" s="1">
        <v>36</v>
      </c>
      <c r="K8" s="1"/>
      <c r="L8" s="1" t="s">
        <v>9</v>
      </c>
    </row>
    <row r="9" spans="1:12">
      <c r="A9" s="1">
        <v>7</v>
      </c>
      <c r="B9" s="1" t="s">
        <v>20</v>
      </c>
      <c r="C9" s="1" t="s">
        <v>16</v>
      </c>
      <c r="D9" s="1" t="s">
        <v>26</v>
      </c>
      <c r="E9" s="1" t="s">
        <v>21</v>
      </c>
      <c r="F9" s="4">
        <v>1</v>
      </c>
      <c r="G9" s="1" t="s">
        <v>91</v>
      </c>
      <c r="H9" s="1">
        <v>1</v>
      </c>
      <c r="I9" s="1"/>
      <c r="J9" s="1">
        <v>36</v>
      </c>
      <c r="K9" s="1"/>
      <c r="L9" s="1" t="s">
        <v>9</v>
      </c>
    </row>
    <row r="10" spans="1:12">
      <c r="A10" s="1">
        <v>8</v>
      </c>
      <c r="B10" s="1"/>
      <c r="C10" s="1" t="s">
        <v>16</v>
      </c>
      <c r="D10" s="1" t="s">
        <v>26</v>
      </c>
      <c r="E10" s="1" t="s">
        <v>31</v>
      </c>
      <c r="F10" s="4">
        <v>1</v>
      </c>
      <c r="G10" s="2" t="s">
        <v>316</v>
      </c>
      <c r="H10" s="1">
        <v>3</v>
      </c>
      <c r="I10" s="1"/>
      <c r="J10" s="1"/>
      <c r="K10" s="2" t="s">
        <v>32</v>
      </c>
      <c r="L10" s="1" t="s">
        <v>9</v>
      </c>
    </row>
    <row r="11" spans="1:12">
      <c r="A11" s="1">
        <v>9</v>
      </c>
      <c r="B11" s="1" t="s">
        <v>20</v>
      </c>
      <c r="C11" s="1" t="s">
        <v>16</v>
      </c>
      <c r="D11" s="1" t="s">
        <v>27</v>
      </c>
      <c r="E11" s="1" t="s">
        <v>21</v>
      </c>
      <c r="F11" s="5">
        <v>1</v>
      </c>
      <c r="G11" s="1" t="s">
        <v>91</v>
      </c>
      <c r="H11" s="2">
        <v>1</v>
      </c>
      <c r="I11" s="2"/>
      <c r="J11" s="2">
        <v>36</v>
      </c>
      <c r="K11" s="2"/>
      <c r="L11" s="2" t="s">
        <v>9</v>
      </c>
    </row>
    <row r="12" spans="1:12">
      <c r="A12" s="1">
        <v>10</v>
      </c>
      <c r="B12" s="2"/>
      <c r="C12" s="1" t="s">
        <v>16</v>
      </c>
      <c r="D12" s="1" t="s">
        <v>27</v>
      </c>
      <c r="E12" s="2" t="s">
        <v>31</v>
      </c>
      <c r="F12" s="5">
        <v>1</v>
      </c>
      <c r="G12" s="2" t="s">
        <v>316</v>
      </c>
      <c r="H12" s="2">
        <v>2</v>
      </c>
      <c r="I12" s="2"/>
      <c r="J12" s="2"/>
      <c r="K12" s="2" t="s">
        <v>32</v>
      </c>
      <c r="L12" s="2" t="s">
        <v>9</v>
      </c>
    </row>
    <row r="13" spans="1:12">
      <c r="A13" s="1">
        <v>11</v>
      </c>
      <c r="B13" s="2" t="s">
        <v>81</v>
      </c>
      <c r="C13" s="1" t="s">
        <v>16</v>
      </c>
      <c r="D13" s="2" t="s">
        <v>33</v>
      </c>
      <c r="E13" s="2" t="s">
        <v>21</v>
      </c>
      <c r="F13" s="5">
        <v>2</v>
      </c>
      <c r="G13" s="2" t="s">
        <v>56</v>
      </c>
      <c r="H13" s="2">
        <v>54</v>
      </c>
      <c r="I13" s="2"/>
      <c r="J13" s="2">
        <v>72</v>
      </c>
      <c r="K13" s="2"/>
      <c r="L13" s="2" t="s">
        <v>9</v>
      </c>
    </row>
    <row r="14" spans="1:12">
      <c r="A14" s="1">
        <v>12</v>
      </c>
      <c r="B14" s="2" t="s">
        <v>82</v>
      </c>
      <c r="C14" s="1" t="s">
        <v>16</v>
      </c>
      <c r="D14" s="2" t="s">
        <v>34</v>
      </c>
      <c r="E14" s="2" t="s">
        <v>21</v>
      </c>
      <c r="F14" s="5">
        <v>1</v>
      </c>
      <c r="G14" s="2" t="s">
        <v>88</v>
      </c>
      <c r="H14" s="2">
        <v>4</v>
      </c>
      <c r="I14" s="2"/>
      <c r="J14" s="2">
        <v>36</v>
      </c>
      <c r="K14" s="2"/>
      <c r="L14" s="2" t="s">
        <v>9</v>
      </c>
    </row>
    <row r="15" spans="1:12">
      <c r="A15" s="1">
        <v>13</v>
      </c>
      <c r="B15" s="2" t="s">
        <v>83</v>
      </c>
      <c r="C15" s="1" t="s">
        <v>16</v>
      </c>
      <c r="D15" s="2" t="s">
        <v>35</v>
      </c>
      <c r="E15" s="2" t="s">
        <v>21</v>
      </c>
      <c r="F15" s="5">
        <v>1</v>
      </c>
      <c r="G15" s="2" t="s">
        <v>89</v>
      </c>
      <c r="H15" s="2">
        <v>4</v>
      </c>
      <c r="I15" s="2"/>
      <c r="J15" s="2">
        <v>36</v>
      </c>
      <c r="K15" s="2"/>
      <c r="L15" s="2" t="s">
        <v>9</v>
      </c>
    </row>
    <row r="16" spans="1:12">
      <c r="A16" s="1">
        <v>14</v>
      </c>
      <c r="B16" s="2"/>
      <c r="C16" s="1" t="s">
        <v>16</v>
      </c>
      <c r="D16" s="2" t="s">
        <v>35</v>
      </c>
      <c r="E16" s="2" t="s">
        <v>72</v>
      </c>
      <c r="F16" s="5">
        <v>1</v>
      </c>
      <c r="G16" s="2" t="s">
        <v>73</v>
      </c>
      <c r="H16" s="2">
        <v>4</v>
      </c>
      <c r="I16" s="2"/>
      <c r="J16" s="2">
        <v>60</v>
      </c>
      <c r="K16" s="2"/>
      <c r="L16" s="2" t="s">
        <v>9</v>
      </c>
    </row>
    <row r="17" spans="1:12">
      <c r="A17" s="1">
        <v>15</v>
      </c>
      <c r="B17" s="2" t="s">
        <v>83</v>
      </c>
      <c r="C17" s="1" t="s">
        <v>16</v>
      </c>
      <c r="D17" s="2" t="s">
        <v>11</v>
      </c>
      <c r="E17" s="2" t="s">
        <v>21</v>
      </c>
      <c r="F17" s="5">
        <v>1</v>
      </c>
      <c r="G17" s="2" t="s">
        <v>89</v>
      </c>
      <c r="H17" s="2">
        <v>76</v>
      </c>
      <c r="I17" s="2"/>
      <c r="J17" s="2">
        <v>36</v>
      </c>
      <c r="K17" s="2"/>
      <c r="L17" s="2" t="s">
        <v>9</v>
      </c>
    </row>
    <row r="18" spans="1:12">
      <c r="A18" s="1">
        <v>16</v>
      </c>
      <c r="B18" s="2" t="s">
        <v>84</v>
      </c>
      <c r="C18" s="1" t="s">
        <v>16</v>
      </c>
      <c r="D18" s="2" t="s">
        <v>11</v>
      </c>
      <c r="E18" s="2" t="s">
        <v>21</v>
      </c>
      <c r="F18" s="5">
        <v>1</v>
      </c>
      <c r="G18" s="2" t="s">
        <v>89</v>
      </c>
      <c r="H18" s="2">
        <v>2</v>
      </c>
      <c r="I18" s="2"/>
      <c r="J18" s="2">
        <v>36</v>
      </c>
      <c r="K18" s="2"/>
      <c r="L18" s="2" t="s">
        <v>9</v>
      </c>
    </row>
    <row r="19" spans="1:12">
      <c r="A19" s="1">
        <v>17</v>
      </c>
      <c r="B19" s="2"/>
      <c r="C19" s="1" t="s">
        <v>16</v>
      </c>
      <c r="D19" s="2" t="s">
        <v>11</v>
      </c>
      <c r="E19" s="2" t="s">
        <v>21</v>
      </c>
      <c r="F19" s="5">
        <v>1</v>
      </c>
      <c r="G19" s="2" t="s">
        <v>74</v>
      </c>
      <c r="H19" s="2">
        <v>2</v>
      </c>
      <c r="I19" s="2"/>
      <c r="J19" s="2">
        <v>36</v>
      </c>
      <c r="K19" s="2"/>
      <c r="L19" s="2" t="s">
        <v>9</v>
      </c>
    </row>
    <row r="20" spans="1:12">
      <c r="A20" s="1">
        <v>18</v>
      </c>
      <c r="B20" s="2"/>
      <c r="C20" s="1" t="s">
        <v>16</v>
      </c>
      <c r="D20" s="2" t="s">
        <v>35</v>
      </c>
      <c r="E20" s="2" t="s">
        <v>72</v>
      </c>
      <c r="F20" s="5">
        <v>1</v>
      </c>
      <c r="G20" s="2" t="s">
        <v>73</v>
      </c>
      <c r="H20" s="2">
        <v>4</v>
      </c>
      <c r="I20" s="2"/>
      <c r="J20" s="2">
        <v>60</v>
      </c>
      <c r="K20" s="2"/>
      <c r="L20" s="2" t="s">
        <v>9</v>
      </c>
    </row>
    <row r="21" spans="1:12">
      <c r="A21" s="1">
        <v>19</v>
      </c>
      <c r="B21" s="2"/>
      <c r="C21" s="1" t="s">
        <v>16</v>
      </c>
      <c r="D21" s="2" t="s">
        <v>11</v>
      </c>
      <c r="E21" s="2" t="s">
        <v>75</v>
      </c>
      <c r="F21" s="5">
        <v>1</v>
      </c>
      <c r="G21" s="2" t="s">
        <v>76</v>
      </c>
      <c r="H21" s="2">
        <v>5</v>
      </c>
      <c r="I21" s="2"/>
      <c r="J21" s="2"/>
      <c r="K21" s="2"/>
      <c r="L21" s="2" t="s">
        <v>9</v>
      </c>
    </row>
    <row r="22" spans="1:12">
      <c r="A22" s="1">
        <v>20</v>
      </c>
      <c r="B22" s="2" t="s">
        <v>28</v>
      </c>
      <c r="C22" s="1" t="s">
        <v>16</v>
      </c>
      <c r="D22" s="2" t="s">
        <v>57</v>
      </c>
      <c r="E22" s="2" t="s">
        <v>21</v>
      </c>
      <c r="F22" s="5">
        <v>1</v>
      </c>
      <c r="G22" s="2" t="s">
        <v>90</v>
      </c>
      <c r="H22" s="2">
        <v>2</v>
      </c>
      <c r="I22" s="2"/>
      <c r="J22" s="2">
        <v>36</v>
      </c>
      <c r="K22" s="2"/>
      <c r="L22" s="2" t="s">
        <v>9</v>
      </c>
    </row>
    <row r="23" spans="1:12">
      <c r="A23" s="1">
        <v>21</v>
      </c>
      <c r="B23" s="2"/>
      <c r="C23" s="1" t="s">
        <v>16</v>
      </c>
      <c r="D23" s="2" t="s">
        <v>57</v>
      </c>
      <c r="E23" s="2" t="s">
        <v>72</v>
      </c>
      <c r="F23" s="5">
        <v>1</v>
      </c>
      <c r="G23" s="2" t="s">
        <v>73</v>
      </c>
      <c r="H23" s="2">
        <v>1</v>
      </c>
      <c r="I23" s="2"/>
      <c r="J23" s="2">
        <v>60</v>
      </c>
      <c r="K23" s="2"/>
      <c r="L23" s="2" t="s">
        <v>9</v>
      </c>
    </row>
    <row r="24" spans="1:12">
      <c r="A24" s="1">
        <v>22</v>
      </c>
      <c r="B24" s="1" t="s">
        <v>79</v>
      </c>
      <c r="C24" s="1" t="s">
        <v>16</v>
      </c>
      <c r="D24" s="2" t="s">
        <v>36</v>
      </c>
      <c r="E24" s="1" t="s">
        <v>21</v>
      </c>
      <c r="F24" s="5">
        <v>1</v>
      </c>
      <c r="G24" s="1" t="s">
        <v>553</v>
      </c>
      <c r="H24" s="2">
        <v>1</v>
      </c>
      <c r="I24" s="2"/>
      <c r="J24" s="2">
        <v>36</v>
      </c>
      <c r="K24" s="2"/>
      <c r="L24" s="2" t="s">
        <v>9</v>
      </c>
    </row>
    <row r="25" spans="1:12">
      <c r="A25" s="1">
        <v>23</v>
      </c>
      <c r="B25" s="1" t="s">
        <v>80</v>
      </c>
      <c r="C25" s="1" t="s">
        <v>16</v>
      </c>
      <c r="D25" s="2" t="s">
        <v>36</v>
      </c>
      <c r="E25" s="1" t="s">
        <v>21</v>
      </c>
      <c r="F25" s="5">
        <v>1</v>
      </c>
      <c r="G25" s="1" t="s">
        <v>553</v>
      </c>
      <c r="H25" s="2">
        <v>1</v>
      </c>
      <c r="I25" s="2"/>
      <c r="J25" s="2">
        <v>36</v>
      </c>
      <c r="K25" s="2"/>
      <c r="L25" s="2" t="s">
        <v>9</v>
      </c>
    </row>
    <row r="26" spans="1:12">
      <c r="A26" s="1">
        <v>24</v>
      </c>
      <c r="B26" s="2" t="s">
        <v>20</v>
      </c>
      <c r="C26" s="1" t="s">
        <v>16</v>
      </c>
      <c r="D26" s="2" t="s">
        <v>37</v>
      </c>
      <c r="E26" s="1" t="s">
        <v>21</v>
      </c>
      <c r="F26" s="5">
        <v>1</v>
      </c>
      <c r="G26" s="2" t="s">
        <v>91</v>
      </c>
      <c r="H26" s="2">
        <v>2</v>
      </c>
      <c r="I26" s="2"/>
      <c r="J26" s="2">
        <v>36</v>
      </c>
      <c r="K26" s="2"/>
      <c r="L26" s="2" t="s">
        <v>9</v>
      </c>
    </row>
    <row r="27" spans="1:12">
      <c r="A27" s="1">
        <v>25</v>
      </c>
      <c r="B27" s="2" t="s">
        <v>85</v>
      </c>
      <c r="C27" s="1" t="s">
        <v>16</v>
      </c>
      <c r="D27" s="2" t="s">
        <v>38</v>
      </c>
      <c r="E27" s="1" t="s">
        <v>21</v>
      </c>
      <c r="F27" s="5">
        <v>1</v>
      </c>
      <c r="G27" s="2" t="s">
        <v>92</v>
      </c>
      <c r="H27" s="2">
        <v>1</v>
      </c>
      <c r="I27" s="2"/>
      <c r="J27" s="2">
        <v>36</v>
      </c>
      <c r="K27" s="2"/>
      <c r="L27" s="2" t="s">
        <v>9</v>
      </c>
    </row>
    <row r="28" spans="1:12">
      <c r="A28" s="1">
        <v>26</v>
      </c>
      <c r="B28" s="2" t="s">
        <v>86</v>
      </c>
      <c r="C28" s="1" t="s">
        <v>16</v>
      </c>
      <c r="D28" s="2" t="s">
        <v>39</v>
      </c>
      <c r="E28" s="2" t="s">
        <v>19</v>
      </c>
      <c r="F28" s="5">
        <v>1</v>
      </c>
      <c r="G28" s="2" t="s">
        <v>93</v>
      </c>
      <c r="H28" s="2">
        <v>1</v>
      </c>
      <c r="I28" s="2"/>
      <c r="J28" s="2">
        <v>26</v>
      </c>
      <c r="K28" s="2"/>
      <c r="L28" s="2" t="s">
        <v>9</v>
      </c>
    </row>
    <row r="29" spans="1:12">
      <c r="A29" s="1">
        <v>27</v>
      </c>
      <c r="B29" s="2" t="s">
        <v>81</v>
      </c>
      <c r="C29" s="1" t="s">
        <v>16</v>
      </c>
      <c r="D29" s="2" t="s">
        <v>40</v>
      </c>
      <c r="E29" s="1" t="s">
        <v>21</v>
      </c>
      <c r="F29" s="5">
        <v>2</v>
      </c>
      <c r="G29" s="2" t="s">
        <v>56</v>
      </c>
      <c r="H29" s="2">
        <v>8</v>
      </c>
      <c r="I29" s="2"/>
      <c r="J29" s="2">
        <v>72</v>
      </c>
      <c r="K29" s="2"/>
      <c r="L29" s="2" t="s">
        <v>9</v>
      </c>
    </row>
    <row r="30" spans="1:12">
      <c r="A30" s="1">
        <v>28</v>
      </c>
      <c r="B30" s="2" t="s">
        <v>81</v>
      </c>
      <c r="C30" s="1" t="s">
        <v>16</v>
      </c>
      <c r="D30" s="2" t="s">
        <v>41</v>
      </c>
      <c r="E30" s="1" t="s">
        <v>21</v>
      </c>
      <c r="F30" s="5">
        <v>2</v>
      </c>
      <c r="G30" s="2" t="s">
        <v>56</v>
      </c>
      <c r="H30" s="2">
        <v>6</v>
      </c>
      <c r="I30" s="2"/>
      <c r="J30" s="2">
        <v>72</v>
      </c>
      <c r="K30" s="2"/>
      <c r="L30" s="2" t="s">
        <v>9</v>
      </c>
    </row>
    <row r="31" spans="1:12">
      <c r="A31" s="1">
        <v>29</v>
      </c>
      <c r="B31" s="2" t="s">
        <v>81</v>
      </c>
      <c r="C31" s="1" t="s">
        <v>16</v>
      </c>
      <c r="D31" s="2" t="s">
        <v>42</v>
      </c>
      <c r="E31" s="1" t="s">
        <v>21</v>
      </c>
      <c r="F31" s="5">
        <v>2</v>
      </c>
      <c r="G31" s="2" t="s">
        <v>56</v>
      </c>
      <c r="H31" s="2">
        <v>20</v>
      </c>
      <c r="I31" s="2"/>
      <c r="J31" s="2">
        <v>72</v>
      </c>
      <c r="K31" s="2"/>
      <c r="L31" s="2" t="s">
        <v>9</v>
      </c>
    </row>
    <row r="32" spans="1:12">
      <c r="A32" s="1">
        <v>30</v>
      </c>
      <c r="B32" s="2" t="s">
        <v>81</v>
      </c>
      <c r="C32" s="1" t="s">
        <v>16</v>
      </c>
      <c r="D32" s="2" t="s">
        <v>43</v>
      </c>
      <c r="E32" s="1" t="s">
        <v>21</v>
      </c>
      <c r="F32" s="5">
        <v>2</v>
      </c>
      <c r="G32" s="2" t="s">
        <v>56</v>
      </c>
      <c r="H32" s="2">
        <v>24</v>
      </c>
      <c r="I32" s="2"/>
      <c r="J32" s="2">
        <v>72</v>
      </c>
      <c r="K32" s="2"/>
      <c r="L32" s="2" t="s">
        <v>9</v>
      </c>
    </row>
    <row r="33" spans="1:12">
      <c r="A33" s="1">
        <v>31</v>
      </c>
      <c r="B33" s="2" t="s">
        <v>82</v>
      </c>
      <c r="C33" s="1" t="s">
        <v>16</v>
      </c>
      <c r="D33" s="2" t="s">
        <v>34</v>
      </c>
      <c r="E33" s="2" t="s">
        <v>21</v>
      </c>
      <c r="F33" s="5">
        <v>1</v>
      </c>
      <c r="G33" s="2" t="s">
        <v>88</v>
      </c>
      <c r="H33" s="2">
        <v>5</v>
      </c>
      <c r="I33" s="2"/>
      <c r="J33" s="2">
        <v>36</v>
      </c>
      <c r="K33" s="2"/>
      <c r="L33" s="2" t="s">
        <v>9</v>
      </c>
    </row>
    <row r="34" spans="1:12">
      <c r="A34" s="1">
        <v>32</v>
      </c>
      <c r="B34" s="2"/>
      <c r="C34" s="1" t="s">
        <v>16</v>
      </c>
      <c r="D34" s="2" t="s">
        <v>34</v>
      </c>
      <c r="E34" s="2" t="s">
        <v>21</v>
      </c>
      <c r="F34" s="5">
        <v>1</v>
      </c>
      <c r="G34" s="2"/>
      <c r="H34" s="2">
        <v>125</v>
      </c>
      <c r="I34" s="2"/>
      <c r="J34" s="2">
        <v>36</v>
      </c>
      <c r="K34" s="2"/>
      <c r="L34" s="2" t="s">
        <v>9</v>
      </c>
    </row>
    <row r="35" spans="1:12">
      <c r="A35" s="1">
        <v>33</v>
      </c>
      <c r="B35" s="2" t="s">
        <v>87</v>
      </c>
      <c r="C35" s="1" t="s">
        <v>16</v>
      </c>
      <c r="D35" s="2" t="s">
        <v>44</v>
      </c>
      <c r="E35" s="2" t="s">
        <v>21</v>
      </c>
      <c r="F35" s="5">
        <v>2</v>
      </c>
      <c r="G35" s="2" t="s">
        <v>94</v>
      </c>
      <c r="H35" s="2">
        <v>10</v>
      </c>
      <c r="I35" s="2"/>
      <c r="J35" s="2">
        <v>72</v>
      </c>
      <c r="K35" s="2"/>
      <c r="L35" s="2" t="s">
        <v>9</v>
      </c>
    </row>
    <row r="36" spans="1:12">
      <c r="A36" s="1">
        <v>34</v>
      </c>
      <c r="B36" s="2" t="s">
        <v>20</v>
      </c>
      <c r="C36" s="1" t="s">
        <v>16</v>
      </c>
      <c r="D36" s="1" t="s">
        <v>58</v>
      </c>
      <c r="E36" s="2" t="s">
        <v>21</v>
      </c>
      <c r="F36" s="4">
        <v>1</v>
      </c>
      <c r="G36" s="1" t="s">
        <v>91</v>
      </c>
      <c r="H36" s="1">
        <v>1</v>
      </c>
      <c r="I36" s="1"/>
      <c r="J36" s="1">
        <v>36</v>
      </c>
      <c r="K36" s="1"/>
      <c r="L36" s="1" t="s">
        <v>9</v>
      </c>
    </row>
    <row r="37" spans="1:12">
      <c r="A37" s="1">
        <v>35</v>
      </c>
      <c r="B37" s="2"/>
      <c r="C37" s="1" t="s">
        <v>16</v>
      </c>
      <c r="D37" s="1" t="s">
        <v>58</v>
      </c>
      <c r="E37" s="1" t="s">
        <v>31</v>
      </c>
      <c r="F37" s="4">
        <v>1</v>
      </c>
      <c r="G37" s="2" t="s">
        <v>316</v>
      </c>
      <c r="H37" s="1">
        <v>3</v>
      </c>
      <c r="I37" s="1"/>
      <c r="J37" s="1"/>
      <c r="K37" s="2" t="s">
        <v>32</v>
      </c>
      <c r="L37" s="1" t="s">
        <v>9</v>
      </c>
    </row>
    <row r="38" spans="1:12">
      <c r="A38" s="1">
        <v>36</v>
      </c>
      <c r="B38" s="1" t="s">
        <v>20</v>
      </c>
      <c r="C38" s="1" t="s">
        <v>16</v>
      </c>
      <c r="D38" s="1" t="s">
        <v>59</v>
      </c>
      <c r="E38" s="2" t="s">
        <v>21</v>
      </c>
      <c r="F38" s="4">
        <v>1</v>
      </c>
      <c r="G38" s="1" t="s">
        <v>91</v>
      </c>
      <c r="H38" s="1">
        <v>1</v>
      </c>
      <c r="I38" s="1"/>
      <c r="J38" s="1">
        <v>36</v>
      </c>
      <c r="K38" s="1"/>
      <c r="L38" s="1" t="s">
        <v>9</v>
      </c>
    </row>
    <row r="39" spans="1:12">
      <c r="A39" s="1">
        <v>37</v>
      </c>
      <c r="B39" s="1"/>
      <c r="C39" s="1" t="s">
        <v>16</v>
      </c>
      <c r="D39" s="1" t="s">
        <v>59</v>
      </c>
      <c r="E39" s="2" t="s">
        <v>31</v>
      </c>
      <c r="F39" s="5">
        <v>1</v>
      </c>
      <c r="G39" s="2" t="s">
        <v>316</v>
      </c>
      <c r="H39" s="2">
        <v>2</v>
      </c>
      <c r="I39" s="2"/>
      <c r="J39" s="2"/>
      <c r="K39" s="2" t="s">
        <v>32</v>
      </c>
      <c r="L39" s="2" t="s">
        <v>9</v>
      </c>
    </row>
    <row r="40" spans="1:12">
      <c r="A40" s="1">
        <v>38</v>
      </c>
      <c r="B40" s="1" t="s">
        <v>28</v>
      </c>
      <c r="C40" s="1" t="s">
        <v>16</v>
      </c>
      <c r="D40" s="1" t="s">
        <v>45</v>
      </c>
      <c r="E40" s="1" t="s">
        <v>21</v>
      </c>
      <c r="F40" s="4">
        <v>1</v>
      </c>
      <c r="G40" s="1" t="s">
        <v>90</v>
      </c>
      <c r="H40" s="1">
        <v>3</v>
      </c>
      <c r="I40" s="1"/>
      <c r="J40" s="1">
        <v>36</v>
      </c>
      <c r="K40" s="1"/>
      <c r="L40" s="1" t="s">
        <v>9</v>
      </c>
    </row>
    <row r="41" spans="1:12">
      <c r="A41" s="1">
        <v>39</v>
      </c>
      <c r="B41" s="1" t="s">
        <v>79</v>
      </c>
      <c r="C41" s="1" t="s">
        <v>16</v>
      </c>
      <c r="D41" s="1" t="s">
        <v>46</v>
      </c>
      <c r="E41" s="1" t="s">
        <v>21</v>
      </c>
      <c r="F41" s="5">
        <v>1</v>
      </c>
      <c r="G41" s="1" t="s">
        <v>553</v>
      </c>
      <c r="H41" s="1">
        <v>1</v>
      </c>
      <c r="I41" s="1"/>
      <c r="J41" s="1">
        <v>36</v>
      </c>
      <c r="K41" s="1"/>
      <c r="L41" s="1" t="s">
        <v>9</v>
      </c>
    </row>
    <row r="42" spans="1:12">
      <c r="A42" s="1">
        <v>40</v>
      </c>
      <c r="B42" s="1" t="s">
        <v>80</v>
      </c>
      <c r="C42" s="1" t="s">
        <v>16</v>
      </c>
      <c r="D42" s="1" t="s">
        <v>46</v>
      </c>
      <c r="E42" s="1" t="s">
        <v>21</v>
      </c>
      <c r="F42" s="5">
        <v>1</v>
      </c>
      <c r="G42" s="1" t="s">
        <v>553</v>
      </c>
      <c r="H42" s="1">
        <v>1</v>
      </c>
      <c r="I42" s="1"/>
      <c r="J42" s="1">
        <v>36</v>
      </c>
      <c r="K42" s="1"/>
      <c r="L42" s="1" t="s">
        <v>9</v>
      </c>
    </row>
    <row r="43" spans="1:12">
      <c r="A43" s="1">
        <v>41</v>
      </c>
      <c r="B43" s="1" t="s">
        <v>20</v>
      </c>
      <c r="C43" s="1" t="s">
        <v>16</v>
      </c>
      <c r="D43" s="1" t="s">
        <v>60</v>
      </c>
      <c r="E43" s="1" t="s">
        <v>21</v>
      </c>
      <c r="F43" s="4">
        <v>1</v>
      </c>
      <c r="G43" s="1" t="s">
        <v>91</v>
      </c>
      <c r="H43" s="1">
        <v>1</v>
      </c>
      <c r="I43" s="1"/>
      <c r="J43" s="1">
        <v>36</v>
      </c>
      <c r="K43" s="1"/>
      <c r="L43" s="1" t="s">
        <v>9</v>
      </c>
    </row>
    <row r="44" spans="1:12">
      <c r="A44" s="1">
        <v>42</v>
      </c>
      <c r="B44" s="1" t="s">
        <v>20</v>
      </c>
      <c r="C44" s="1" t="s">
        <v>16</v>
      </c>
      <c r="D44" s="1" t="s">
        <v>47</v>
      </c>
      <c r="E44" s="1" t="s">
        <v>21</v>
      </c>
      <c r="F44" s="4">
        <v>1</v>
      </c>
      <c r="G44" s="1" t="s">
        <v>91</v>
      </c>
      <c r="H44" s="1">
        <v>1</v>
      </c>
      <c r="I44" s="1"/>
      <c r="J44" s="1">
        <v>36</v>
      </c>
      <c r="K44" s="1"/>
      <c r="L44" s="1" t="s">
        <v>9</v>
      </c>
    </row>
    <row r="45" spans="1:12">
      <c r="A45" s="1">
        <v>43</v>
      </c>
      <c r="B45" s="1" t="s">
        <v>78</v>
      </c>
      <c r="C45" s="1" t="s">
        <v>16</v>
      </c>
      <c r="D45" s="1" t="s">
        <v>61</v>
      </c>
      <c r="E45" s="1" t="s">
        <v>19</v>
      </c>
      <c r="F45" s="4">
        <v>1</v>
      </c>
      <c r="G45" s="1" t="s">
        <v>95</v>
      </c>
      <c r="H45" s="1">
        <v>1</v>
      </c>
      <c r="I45" s="1"/>
      <c r="J45" s="1">
        <v>26</v>
      </c>
      <c r="K45" s="1"/>
      <c r="L45" s="1" t="s">
        <v>9</v>
      </c>
    </row>
    <row r="46" spans="1:12">
      <c r="A46" s="1">
        <v>44</v>
      </c>
      <c r="B46" s="1" t="s">
        <v>81</v>
      </c>
      <c r="C46" s="1" t="s">
        <v>16</v>
      </c>
      <c r="D46" s="1" t="s">
        <v>48</v>
      </c>
      <c r="E46" s="1" t="s">
        <v>21</v>
      </c>
      <c r="F46" s="5">
        <v>2</v>
      </c>
      <c r="G46" s="2" t="s">
        <v>56</v>
      </c>
      <c r="H46" s="1">
        <v>9</v>
      </c>
      <c r="I46" s="1"/>
      <c r="J46" s="1">
        <v>72</v>
      </c>
      <c r="K46" s="1"/>
      <c r="L46" s="1" t="s">
        <v>9</v>
      </c>
    </row>
    <row r="47" spans="1:12">
      <c r="A47" s="1">
        <v>45</v>
      </c>
      <c r="B47" s="1" t="s">
        <v>81</v>
      </c>
      <c r="C47" s="1" t="s">
        <v>16</v>
      </c>
      <c r="D47" s="2" t="s">
        <v>62</v>
      </c>
      <c r="E47" s="1" t="s">
        <v>21</v>
      </c>
      <c r="F47" s="5">
        <v>2</v>
      </c>
      <c r="G47" s="2" t="s">
        <v>56</v>
      </c>
      <c r="H47" s="1">
        <v>50</v>
      </c>
      <c r="I47" s="1"/>
      <c r="J47" s="1">
        <v>72</v>
      </c>
      <c r="K47" s="1"/>
      <c r="L47" s="1" t="s">
        <v>9</v>
      </c>
    </row>
    <row r="48" spans="1:12">
      <c r="A48" s="1">
        <v>46</v>
      </c>
      <c r="B48" s="1" t="s">
        <v>82</v>
      </c>
      <c r="C48" s="1" t="s">
        <v>16</v>
      </c>
      <c r="D48" s="2" t="s">
        <v>63</v>
      </c>
      <c r="E48" s="1" t="s">
        <v>21</v>
      </c>
      <c r="F48" s="4">
        <v>1</v>
      </c>
      <c r="G48" s="1" t="s">
        <v>88</v>
      </c>
      <c r="H48" s="1">
        <v>2</v>
      </c>
      <c r="I48" s="1"/>
      <c r="J48" s="1">
        <v>36</v>
      </c>
      <c r="K48" s="1"/>
      <c r="L48" s="1" t="s">
        <v>9</v>
      </c>
    </row>
    <row r="49" spans="1:12">
      <c r="A49" s="1">
        <v>47</v>
      </c>
      <c r="B49" s="1" t="s">
        <v>85</v>
      </c>
      <c r="C49" s="1" t="s">
        <v>16</v>
      </c>
      <c r="D49" s="2" t="s">
        <v>64</v>
      </c>
      <c r="E49" s="1" t="s">
        <v>21</v>
      </c>
      <c r="F49" s="4">
        <v>1</v>
      </c>
      <c r="G49" s="1" t="s">
        <v>96</v>
      </c>
      <c r="H49" s="1">
        <v>1</v>
      </c>
      <c r="I49" s="1"/>
      <c r="J49" s="1">
        <v>36</v>
      </c>
      <c r="K49" s="1"/>
      <c r="L49" s="1" t="s">
        <v>9</v>
      </c>
    </row>
    <row r="50" spans="1:12">
      <c r="A50" s="1">
        <v>48</v>
      </c>
      <c r="B50" s="1" t="s">
        <v>86</v>
      </c>
      <c r="C50" s="1" t="s">
        <v>16</v>
      </c>
      <c r="D50" s="2" t="s">
        <v>49</v>
      </c>
      <c r="E50" s="1" t="s">
        <v>19</v>
      </c>
      <c r="F50" s="4">
        <v>1</v>
      </c>
      <c r="G50" s="1" t="s">
        <v>93</v>
      </c>
      <c r="H50" s="1">
        <v>1</v>
      </c>
      <c r="I50" s="1"/>
      <c r="J50" s="1">
        <v>26</v>
      </c>
      <c r="K50" s="1"/>
      <c r="L50" s="1" t="s">
        <v>9</v>
      </c>
    </row>
    <row r="51" spans="1:12">
      <c r="A51" s="1">
        <v>49</v>
      </c>
      <c r="B51" s="1" t="s">
        <v>28</v>
      </c>
      <c r="C51" s="1" t="s">
        <v>16</v>
      </c>
      <c r="D51" s="2" t="s">
        <v>65</v>
      </c>
      <c r="E51" s="1" t="s">
        <v>21</v>
      </c>
      <c r="F51" s="4">
        <v>1</v>
      </c>
      <c r="G51" s="1" t="s">
        <v>90</v>
      </c>
      <c r="H51" s="1">
        <v>2</v>
      </c>
      <c r="I51" s="1"/>
      <c r="J51" s="1">
        <v>36</v>
      </c>
      <c r="K51" s="1"/>
      <c r="L51" s="1" t="s">
        <v>9</v>
      </c>
    </row>
    <row r="52" spans="1:12">
      <c r="A52" s="1">
        <v>50</v>
      </c>
      <c r="B52" s="1"/>
      <c r="C52" s="1" t="s">
        <v>16</v>
      </c>
      <c r="D52" s="2" t="s">
        <v>65</v>
      </c>
      <c r="E52" s="1" t="s">
        <v>72</v>
      </c>
      <c r="F52" s="4">
        <v>1</v>
      </c>
      <c r="G52" s="1" t="s">
        <v>73</v>
      </c>
      <c r="H52" s="1">
        <v>1</v>
      </c>
      <c r="I52" s="1"/>
      <c r="J52" s="1">
        <v>60</v>
      </c>
      <c r="K52" s="1"/>
      <c r="L52" s="1" t="s">
        <v>9</v>
      </c>
    </row>
    <row r="53" spans="1:12">
      <c r="A53" s="1">
        <v>51</v>
      </c>
      <c r="B53" s="1" t="s">
        <v>79</v>
      </c>
      <c r="C53" s="1" t="s">
        <v>16</v>
      </c>
      <c r="D53" s="2" t="s">
        <v>50</v>
      </c>
      <c r="E53" s="1" t="s">
        <v>21</v>
      </c>
      <c r="F53" s="5">
        <v>1</v>
      </c>
      <c r="G53" s="1" t="s">
        <v>553</v>
      </c>
      <c r="H53" s="1">
        <v>1</v>
      </c>
      <c r="I53" s="1"/>
      <c r="J53" s="1">
        <v>36</v>
      </c>
      <c r="K53" s="1"/>
      <c r="L53" s="1" t="s">
        <v>9</v>
      </c>
    </row>
    <row r="54" spans="1:12">
      <c r="A54" s="1">
        <v>52</v>
      </c>
      <c r="B54" s="1" t="s">
        <v>80</v>
      </c>
      <c r="C54" s="1" t="s">
        <v>16</v>
      </c>
      <c r="D54" s="2" t="s">
        <v>50</v>
      </c>
      <c r="E54" s="1" t="s">
        <v>21</v>
      </c>
      <c r="F54" s="5">
        <v>1</v>
      </c>
      <c r="G54" s="1" t="s">
        <v>553</v>
      </c>
      <c r="H54" s="1">
        <v>1</v>
      </c>
      <c r="I54" s="1"/>
      <c r="J54" s="1">
        <v>36</v>
      </c>
      <c r="K54" s="1"/>
      <c r="L54" s="1" t="s">
        <v>9</v>
      </c>
    </row>
    <row r="55" spans="1:12">
      <c r="A55" s="1">
        <v>53</v>
      </c>
      <c r="B55" s="1" t="s">
        <v>81</v>
      </c>
      <c r="C55" s="1" t="s">
        <v>16</v>
      </c>
      <c r="D55" s="2" t="s">
        <v>51</v>
      </c>
      <c r="E55" s="1" t="s">
        <v>21</v>
      </c>
      <c r="F55" s="5">
        <v>2</v>
      </c>
      <c r="G55" s="2" t="s">
        <v>56</v>
      </c>
      <c r="H55" s="1">
        <v>4</v>
      </c>
      <c r="I55" s="1"/>
      <c r="J55" s="1">
        <v>72</v>
      </c>
      <c r="K55" s="1"/>
      <c r="L55" s="1" t="s">
        <v>9</v>
      </c>
    </row>
    <row r="56" spans="1:12">
      <c r="A56" s="1">
        <v>54</v>
      </c>
      <c r="B56" s="1" t="s">
        <v>81</v>
      </c>
      <c r="C56" s="1" t="s">
        <v>16</v>
      </c>
      <c r="D56" s="2" t="s">
        <v>52</v>
      </c>
      <c r="E56" s="1" t="s">
        <v>21</v>
      </c>
      <c r="F56" s="5">
        <v>2</v>
      </c>
      <c r="G56" s="2" t="s">
        <v>56</v>
      </c>
      <c r="H56" s="1">
        <v>4</v>
      </c>
      <c r="I56" s="1"/>
      <c r="J56" s="1">
        <v>72</v>
      </c>
      <c r="K56" s="1"/>
      <c r="L56" s="1" t="s">
        <v>9</v>
      </c>
    </row>
    <row r="57" spans="1:12">
      <c r="A57" s="1">
        <v>55</v>
      </c>
      <c r="B57" s="1" t="s">
        <v>81</v>
      </c>
      <c r="C57" s="1" t="s">
        <v>16</v>
      </c>
      <c r="D57" s="2" t="s">
        <v>53</v>
      </c>
      <c r="E57" s="1" t="s">
        <v>21</v>
      </c>
      <c r="F57" s="5">
        <v>2</v>
      </c>
      <c r="G57" s="2" t="s">
        <v>56</v>
      </c>
      <c r="H57" s="1">
        <v>96</v>
      </c>
      <c r="I57" s="1"/>
      <c r="J57" s="1">
        <v>72</v>
      </c>
      <c r="K57" s="1"/>
      <c r="L57" s="1" t="s">
        <v>9</v>
      </c>
    </row>
    <row r="58" spans="1:12">
      <c r="A58" s="1">
        <v>56</v>
      </c>
      <c r="B58" s="1" t="s">
        <v>81</v>
      </c>
      <c r="C58" s="1" t="s">
        <v>16</v>
      </c>
      <c r="D58" s="2" t="s">
        <v>54</v>
      </c>
      <c r="E58" s="1" t="s">
        <v>21</v>
      </c>
      <c r="F58" s="5">
        <v>2</v>
      </c>
      <c r="G58" s="2" t="s">
        <v>56</v>
      </c>
      <c r="H58" s="1">
        <v>2</v>
      </c>
      <c r="I58" s="1"/>
      <c r="J58" s="1">
        <v>72</v>
      </c>
      <c r="K58" s="1"/>
      <c r="L58" s="1" t="s">
        <v>9</v>
      </c>
    </row>
    <row r="59" spans="1:12">
      <c r="A59" s="1">
        <v>57</v>
      </c>
      <c r="B59" s="1" t="s">
        <v>81</v>
      </c>
      <c r="C59" s="1" t="s">
        <v>16</v>
      </c>
      <c r="D59" s="2" t="s">
        <v>55</v>
      </c>
      <c r="E59" s="1" t="s">
        <v>21</v>
      </c>
      <c r="F59" s="5">
        <v>2</v>
      </c>
      <c r="G59" s="2" t="s">
        <v>56</v>
      </c>
      <c r="H59" s="1">
        <v>6</v>
      </c>
      <c r="I59" s="1"/>
      <c r="J59" s="1">
        <v>72</v>
      </c>
      <c r="K59" s="1"/>
      <c r="L59" s="1" t="s">
        <v>9</v>
      </c>
    </row>
    <row r="60" spans="1:12">
      <c r="H60">
        <f>SUM(H3:H59)</f>
        <v>572</v>
      </c>
    </row>
    <row r="61" spans="1:12">
      <c r="A61" t="s">
        <v>77</v>
      </c>
    </row>
    <row r="62" spans="1:12">
      <c r="A62" s="1">
        <v>58</v>
      </c>
      <c r="B62" s="2" t="s">
        <v>67</v>
      </c>
      <c r="C62" s="2" t="s">
        <v>16</v>
      </c>
      <c r="D62" s="2" t="s">
        <v>57</v>
      </c>
      <c r="E62" s="1" t="s">
        <v>97</v>
      </c>
      <c r="F62" s="4">
        <v>1</v>
      </c>
      <c r="G62" s="1" t="s">
        <v>594</v>
      </c>
      <c r="H62" s="1">
        <v>1</v>
      </c>
      <c r="I62" s="1">
        <v>8760</v>
      </c>
      <c r="J62" s="1">
        <v>4</v>
      </c>
      <c r="K62" s="1"/>
      <c r="L62" s="1" t="s">
        <v>9</v>
      </c>
    </row>
    <row r="63" spans="1:12">
      <c r="A63" s="1">
        <v>59</v>
      </c>
      <c r="B63" s="2" t="s">
        <v>69</v>
      </c>
      <c r="C63" s="2" t="s">
        <v>16</v>
      </c>
      <c r="D63" s="2" t="s">
        <v>39</v>
      </c>
      <c r="E63" s="1" t="s">
        <v>97</v>
      </c>
      <c r="F63" s="4">
        <v>1</v>
      </c>
      <c r="G63" s="1" t="s">
        <v>594</v>
      </c>
      <c r="H63" s="1">
        <v>1</v>
      </c>
      <c r="I63" s="1">
        <v>8760</v>
      </c>
      <c r="J63" s="1">
        <v>4</v>
      </c>
      <c r="K63" s="1"/>
      <c r="L63" s="1" t="s">
        <v>9</v>
      </c>
    </row>
    <row r="64" spans="1:12">
      <c r="A64" s="1">
        <v>60</v>
      </c>
      <c r="B64" s="2" t="s">
        <v>67</v>
      </c>
      <c r="C64" s="2" t="s">
        <v>16</v>
      </c>
      <c r="D64" s="2" t="s">
        <v>45</v>
      </c>
      <c r="E64" s="1" t="s">
        <v>97</v>
      </c>
      <c r="F64" s="4">
        <v>1</v>
      </c>
      <c r="G64" s="1" t="s">
        <v>594</v>
      </c>
      <c r="H64" s="1">
        <v>1</v>
      </c>
      <c r="I64" s="1">
        <v>8760</v>
      </c>
      <c r="J64" s="1">
        <v>4</v>
      </c>
      <c r="K64" s="1"/>
      <c r="L64" s="1" t="s">
        <v>9</v>
      </c>
    </row>
    <row r="65" spans="1:12">
      <c r="A65" s="1">
        <v>61</v>
      </c>
      <c r="B65" s="2" t="s">
        <v>68</v>
      </c>
      <c r="C65" s="2" t="s">
        <v>16</v>
      </c>
      <c r="D65" s="2" t="s">
        <v>45</v>
      </c>
      <c r="E65" s="1" t="s">
        <v>98</v>
      </c>
      <c r="F65" s="4">
        <v>1</v>
      </c>
      <c r="G65" s="1" t="s">
        <v>594</v>
      </c>
      <c r="H65" s="1">
        <v>1</v>
      </c>
      <c r="I65" s="1">
        <v>8760</v>
      </c>
      <c r="J65" s="1">
        <v>4</v>
      </c>
      <c r="K65" s="1"/>
      <c r="L65" s="1" t="s">
        <v>9</v>
      </c>
    </row>
    <row r="66" spans="1:12">
      <c r="A66" s="1">
        <v>62</v>
      </c>
      <c r="B66" s="2" t="s">
        <v>67</v>
      </c>
      <c r="C66" s="2" t="s">
        <v>16</v>
      </c>
      <c r="D66" s="2" t="s">
        <v>65</v>
      </c>
      <c r="E66" s="1" t="s">
        <v>97</v>
      </c>
      <c r="F66" s="4">
        <v>1</v>
      </c>
      <c r="G66" s="1" t="s">
        <v>594</v>
      </c>
      <c r="H66" s="1">
        <v>1</v>
      </c>
      <c r="I66" s="1">
        <v>8760</v>
      </c>
      <c r="J66" s="1">
        <v>4</v>
      </c>
      <c r="K66" s="1"/>
      <c r="L66" s="1" t="s">
        <v>9</v>
      </c>
    </row>
    <row r="67" spans="1:12">
      <c r="A67" s="1">
        <v>63</v>
      </c>
      <c r="B67" s="2" t="s">
        <v>69</v>
      </c>
      <c r="C67" s="2" t="s">
        <v>16</v>
      </c>
      <c r="D67" s="2" t="s">
        <v>49</v>
      </c>
      <c r="E67" s="1" t="s">
        <v>97</v>
      </c>
      <c r="F67" s="4">
        <v>1</v>
      </c>
      <c r="G67" s="1" t="s">
        <v>594</v>
      </c>
      <c r="H67" s="1">
        <v>1</v>
      </c>
      <c r="I67" s="1">
        <v>8760</v>
      </c>
      <c r="J67" s="1">
        <v>4</v>
      </c>
      <c r="K67" s="1"/>
      <c r="L67" s="1" t="s">
        <v>9</v>
      </c>
    </row>
    <row r="68" spans="1:12">
      <c r="A68" s="1">
        <v>64</v>
      </c>
      <c r="B68" s="2" t="s">
        <v>67</v>
      </c>
      <c r="C68" s="2" t="s">
        <v>16</v>
      </c>
      <c r="D68" s="2" t="s">
        <v>23</v>
      </c>
      <c r="E68" s="1" t="s">
        <v>97</v>
      </c>
      <c r="F68" s="4">
        <v>1</v>
      </c>
      <c r="G68" s="1" t="s">
        <v>594</v>
      </c>
      <c r="H68" s="1">
        <v>1</v>
      </c>
      <c r="I68" s="1">
        <v>8760</v>
      </c>
      <c r="J68" s="1">
        <v>4</v>
      </c>
      <c r="K68" s="1"/>
      <c r="L68" s="1" t="s">
        <v>9</v>
      </c>
    </row>
    <row r="69" spans="1:12">
      <c r="A69" s="1">
        <v>65</v>
      </c>
      <c r="B69" s="2" t="s">
        <v>68</v>
      </c>
      <c r="C69" s="2" t="s">
        <v>16</v>
      </c>
      <c r="D69" s="2" t="s">
        <v>23</v>
      </c>
      <c r="E69" s="1" t="s">
        <v>98</v>
      </c>
      <c r="F69" s="4">
        <v>1</v>
      </c>
      <c r="G69" s="1" t="s">
        <v>594</v>
      </c>
      <c r="H69" s="1">
        <v>1</v>
      </c>
      <c r="I69" s="1">
        <v>8760</v>
      </c>
      <c r="J69" s="1">
        <v>4</v>
      </c>
      <c r="K69" s="1"/>
      <c r="L69" s="1" t="s">
        <v>9</v>
      </c>
    </row>
    <row r="70" spans="1:12">
      <c r="A70" s="1">
        <v>66</v>
      </c>
      <c r="B70" s="1" t="s">
        <v>69</v>
      </c>
      <c r="C70" s="1" t="s">
        <v>16</v>
      </c>
      <c r="D70" s="1" t="s">
        <v>11</v>
      </c>
      <c r="E70" s="1" t="s">
        <v>97</v>
      </c>
      <c r="F70" s="4">
        <v>1</v>
      </c>
      <c r="G70" s="1" t="s">
        <v>594</v>
      </c>
      <c r="H70" s="1">
        <v>2</v>
      </c>
      <c r="I70" s="1">
        <v>8760</v>
      </c>
      <c r="J70" s="1">
        <v>4</v>
      </c>
      <c r="K70" s="1"/>
      <c r="L70" s="1" t="s">
        <v>9</v>
      </c>
    </row>
    <row r="71" spans="1:12">
      <c r="A71" s="1">
        <v>67</v>
      </c>
      <c r="B71" s="1" t="s">
        <v>68</v>
      </c>
      <c r="C71" s="1" t="s">
        <v>16</v>
      </c>
      <c r="D71" s="1" t="s">
        <v>11</v>
      </c>
      <c r="E71" s="1" t="s">
        <v>98</v>
      </c>
      <c r="F71" s="4">
        <v>1</v>
      </c>
      <c r="G71" s="1" t="s">
        <v>594</v>
      </c>
      <c r="H71" s="1">
        <v>8</v>
      </c>
      <c r="I71" s="1">
        <v>8760</v>
      </c>
      <c r="J71" s="1">
        <v>4</v>
      </c>
      <c r="K71" s="1"/>
      <c r="L71" s="1" t="s">
        <v>9</v>
      </c>
    </row>
    <row r="72" spans="1:12">
      <c r="H72">
        <f>SUM(H62:H71)</f>
        <v>18</v>
      </c>
    </row>
    <row r="73" spans="1:12" ht="17.25" customHeight="1">
      <c r="A73" t="s">
        <v>70</v>
      </c>
    </row>
    <row r="74" spans="1:12">
      <c r="A74" s="1">
        <v>68</v>
      </c>
      <c r="B74" s="1"/>
      <c r="C74" s="1" t="s">
        <v>17</v>
      </c>
      <c r="D74" s="1" t="s">
        <v>71</v>
      </c>
      <c r="E74" s="1" t="s">
        <v>72</v>
      </c>
      <c r="F74" s="4">
        <v>1</v>
      </c>
      <c r="G74" s="19" t="s">
        <v>585</v>
      </c>
      <c r="H74" s="1">
        <v>95</v>
      </c>
      <c r="I74" s="1">
        <v>0</v>
      </c>
      <c r="J74" s="1">
        <v>60</v>
      </c>
      <c r="K74" s="1"/>
      <c r="L74" s="1" t="s">
        <v>9</v>
      </c>
    </row>
    <row r="75" spans="1:12">
      <c r="A75" s="1">
        <v>69</v>
      </c>
      <c r="B75" s="19" t="s">
        <v>581</v>
      </c>
      <c r="C75" s="1" t="s">
        <v>17</v>
      </c>
      <c r="D75" s="19" t="s">
        <v>71</v>
      </c>
      <c r="E75" s="19" t="s">
        <v>218</v>
      </c>
      <c r="F75" s="33">
        <v>1</v>
      </c>
      <c r="G75" s="19" t="s">
        <v>585</v>
      </c>
      <c r="H75" s="19">
        <v>3</v>
      </c>
      <c r="I75" s="29">
        <v>0</v>
      </c>
      <c r="J75" s="12">
        <v>40</v>
      </c>
      <c r="K75" s="19"/>
      <c r="L75" s="1" t="s">
        <v>9</v>
      </c>
    </row>
    <row r="76" spans="1:12">
      <c r="B76" s="18"/>
      <c r="C76" s="18"/>
      <c r="D76" s="18"/>
      <c r="E76" s="18"/>
      <c r="F76" s="18"/>
      <c r="G76" s="18"/>
      <c r="H76" s="18">
        <f>SUM(H74:H75)</f>
        <v>98</v>
      </c>
      <c r="I76" s="31"/>
      <c r="J76" s="11"/>
      <c r="K76" s="18"/>
    </row>
  </sheetData>
  <phoneticPr fontId="2"/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C7DE-AC98-45D8-9887-E67DEC10D6E2}">
  <sheetPr>
    <pageSetUpPr fitToPage="1"/>
  </sheetPr>
  <dimension ref="A1:L122"/>
  <sheetViews>
    <sheetView topLeftCell="A112" zoomScaleNormal="100" workbookViewId="0">
      <selection activeCell="C13" sqref="C13"/>
    </sheetView>
  </sheetViews>
  <sheetFormatPr defaultRowHeight="17.649999999999999"/>
  <cols>
    <col min="1" max="1" width="4.4375" customWidth="1"/>
    <col min="2" max="2" width="8.25" bestFit="1" customWidth="1"/>
    <col min="3" max="3" width="4.5" customWidth="1"/>
    <col min="4" max="4" width="23" bestFit="1" customWidth="1"/>
    <col min="5" max="5" width="21.375" bestFit="1" customWidth="1"/>
    <col min="6" max="6" width="4.8125" bestFit="1" customWidth="1"/>
    <col min="7" max="7" width="23.9375" customWidth="1"/>
    <col min="8" max="8" width="5.1875" bestFit="1" customWidth="1"/>
    <col min="9" max="9" width="12.9375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" t="s">
        <v>14</v>
      </c>
      <c r="C2" s="1" t="s">
        <v>1</v>
      </c>
      <c r="D2" s="1" t="s">
        <v>13</v>
      </c>
      <c r="E2" s="1" t="s">
        <v>2</v>
      </c>
      <c r="F2" s="1" t="s">
        <v>3</v>
      </c>
      <c r="G2" s="1" t="s">
        <v>6</v>
      </c>
      <c r="H2" s="1" t="s">
        <v>4</v>
      </c>
      <c r="I2" s="1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1" t="s">
        <v>20</v>
      </c>
      <c r="C3" s="1" t="s">
        <v>99</v>
      </c>
      <c r="D3" s="1" t="s">
        <v>18</v>
      </c>
      <c r="E3" s="1" t="s">
        <v>21</v>
      </c>
      <c r="F3" s="4">
        <v>1</v>
      </c>
      <c r="G3" s="1" t="s">
        <v>91</v>
      </c>
      <c r="H3" s="1">
        <v>1</v>
      </c>
      <c r="I3" s="1"/>
      <c r="J3" s="1">
        <v>36</v>
      </c>
      <c r="K3" s="1"/>
      <c r="L3" s="1" t="s">
        <v>9</v>
      </c>
    </row>
    <row r="4" spans="1:12">
      <c r="A4" s="1">
        <v>2</v>
      </c>
      <c r="B4" s="1" t="s">
        <v>20</v>
      </c>
      <c r="C4" s="1" t="s">
        <v>99</v>
      </c>
      <c r="D4" s="1" t="s">
        <v>22</v>
      </c>
      <c r="E4" s="1" t="s">
        <v>21</v>
      </c>
      <c r="F4" s="4">
        <v>1</v>
      </c>
      <c r="G4" s="1" t="s">
        <v>91</v>
      </c>
      <c r="H4" s="1">
        <v>1</v>
      </c>
      <c r="I4" s="1"/>
      <c r="J4" s="1">
        <v>36</v>
      </c>
      <c r="K4" s="1"/>
      <c r="L4" s="1" t="s">
        <v>9</v>
      </c>
    </row>
    <row r="5" spans="1:12">
      <c r="A5" s="1">
        <v>3</v>
      </c>
      <c r="B5" s="1" t="s">
        <v>28</v>
      </c>
      <c r="C5" s="1" t="s">
        <v>99</v>
      </c>
      <c r="D5" s="1" t="s">
        <v>23</v>
      </c>
      <c r="E5" s="1" t="s">
        <v>21</v>
      </c>
      <c r="F5" s="4">
        <v>1</v>
      </c>
      <c r="G5" s="1" t="s">
        <v>29</v>
      </c>
      <c r="H5" s="1">
        <v>3</v>
      </c>
      <c r="I5" s="1"/>
      <c r="J5" s="1">
        <v>36</v>
      </c>
      <c r="K5" s="1"/>
      <c r="L5" s="1" t="s">
        <v>9</v>
      </c>
    </row>
    <row r="6" spans="1:12">
      <c r="A6" s="1">
        <v>4</v>
      </c>
      <c r="B6" s="1" t="s">
        <v>78</v>
      </c>
      <c r="C6" s="1" t="s">
        <v>99</v>
      </c>
      <c r="D6" s="1" t="s">
        <v>24</v>
      </c>
      <c r="E6" s="1" t="s">
        <v>19</v>
      </c>
      <c r="F6" s="4">
        <v>1</v>
      </c>
      <c r="G6" s="1" t="s">
        <v>506</v>
      </c>
      <c r="H6" s="1">
        <v>1</v>
      </c>
      <c r="I6" s="1"/>
      <c r="J6" s="1">
        <v>26</v>
      </c>
      <c r="K6" s="1"/>
      <c r="L6" s="1" t="s">
        <v>9</v>
      </c>
    </row>
    <row r="7" spans="1:12">
      <c r="A7" s="1">
        <v>5</v>
      </c>
      <c r="B7" s="1" t="s">
        <v>79</v>
      </c>
      <c r="C7" s="1" t="s">
        <v>99</v>
      </c>
      <c r="D7" s="1" t="s">
        <v>25</v>
      </c>
      <c r="E7" s="1" t="s">
        <v>21</v>
      </c>
      <c r="F7" s="4">
        <v>1</v>
      </c>
      <c r="G7" s="1" t="s">
        <v>554</v>
      </c>
      <c r="H7" s="1">
        <v>1</v>
      </c>
      <c r="I7" s="1"/>
      <c r="J7" s="1">
        <v>36</v>
      </c>
      <c r="K7" s="1"/>
      <c r="L7" s="1" t="s">
        <v>9</v>
      </c>
    </row>
    <row r="8" spans="1:12">
      <c r="A8" s="1">
        <v>6</v>
      </c>
      <c r="B8" s="1" t="s">
        <v>80</v>
      </c>
      <c r="C8" s="1" t="s">
        <v>99</v>
      </c>
      <c r="D8" s="1" t="s">
        <v>25</v>
      </c>
      <c r="E8" s="1" t="s">
        <v>21</v>
      </c>
      <c r="F8" s="4">
        <v>1</v>
      </c>
      <c r="G8" s="1" t="s">
        <v>554</v>
      </c>
      <c r="H8" s="1">
        <v>1</v>
      </c>
      <c r="I8" s="1"/>
      <c r="J8" s="1">
        <v>36</v>
      </c>
      <c r="K8" s="1"/>
      <c r="L8" s="1" t="s">
        <v>9</v>
      </c>
    </row>
    <row r="9" spans="1:12">
      <c r="A9" s="1">
        <v>7</v>
      </c>
      <c r="B9" s="1" t="s">
        <v>20</v>
      </c>
      <c r="C9" s="1" t="s">
        <v>99</v>
      </c>
      <c r="D9" s="1" t="s">
        <v>27</v>
      </c>
      <c r="E9" s="1" t="s">
        <v>21</v>
      </c>
      <c r="F9" s="4">
        <v>1</v>
      </c>
      <c r="G9" s="1" t="s">
        <v>91</v>
      </c>
      <c r="H9" s="1">
        <v>1</v>
      </c>
      <c r="I9" s="1"/>
      <c r="J9" s="1">
        <v>36</v>
      </c>
      <c r="K9" s="1"/>
      <c r="L9" s="1" t="s">
        <v>9</v>
      </c>
    </row>
    <row r="10" spans="1:12">
      <c r="A10" s="1">
        <v>8</v>
      </c>
      <c r="B10" s="1"/>
      <c r="C10" s="1" t="s">
        <v>99</v>
      </c>
      <c r="D10" s="1" t="s">
        <v>27</v>
      </c>
      <c r="E10" s="1" t="s">
        <v>31</v>
      </c>
      <c r="F10" s="4">
        <v>1</v>
      </c>
      <c r="G10" s="2" t="s">
        <v>316</v>
      </c>
      <c r="H10" s="1">
        <v>2</v>
      </c>
      <c r="I10" s="1"/>
      <c r="J10" s="1"/>
      <c r="K10" s="2" t="s">
        <v>32</v>
      </c>
      <c r="L10" s="1" t="s">
        <v>9</v>
      </c>
    </row>
    <row r="11" spans="1:12">
      <c r="A11" s="1">
        <v>9</v>
      </c>
      <c r="B11" s="1" t="s">
        <v>20</v>
      </c>
      <c r="C11" s="1" t="s">
        <v>99</v>
      </c>
      <c r="D11" s="1" t="s">
        <v>26</v>
      </c>
      <c r="E11" s="1" t="s">
        <v>21</v>
      </c>
      <c r="F11" s="5">
        <v>1</v>
      </c>
      <c r="G11" s="1" t="s">
        <v>91</v>
      </c>
      <c r="H11" s="1">
        <v>1</v>
      </c>
      <c r="I11" s="2"/>
      <c r="J11" s="2">
        <v>36</v>
      </c>
      <c r="K11" s="2"/>
      <c r="L11" s="1" t="s">
        <v>9</v>
      </c>
    </row>
    <row r="12" spans="1:12">
      <c r="A12" s="1">
        <v>10</v>
      </c>
      <c r="B12" s="2"/>
      <c r="C12" s="1" t="s">
        <v>99</v>
      </c>
      <c r="D12" s="1" t="s">
        <v>26</v>
      </c>
      <c r="E12" s="1" t="s">
        <v>31</v>
      </c>
      <c r="F12" s="5">
        <v>1</v>
      </c>
      <c r="G12" s="2" t="s">
        <v>316</v>
      </c>
      <c r="H12" s="2">
        <v>3</v>
      </c>
      <c r="I12" s="2"/>
      <c r="J12" s="2"/>
      <c r="K12" s="2" t="s">
        <v>32</v>
      </c>
      <c r="L12" s="1" t="s">
        <v>9</v>
      </c>
    </row>
    <row r="13" spans="1:12">
      <c r="A13" s="1">
        <v>11</v>
      </c>
      <c r="B13" s="2" t="s">
        <v>507</v>
      </c>
      <c r="C13" s="1" t="s">
        <v>99</v>
      </c>
      <c r="D13" s="2" t="s">
        <v>100</v>
      </c>
      <c r="E13" s="2" t="s">
        <v>21</v>
      </c>
      <c r="F13" s="5">
        <v>9</v>
      </c>
      <c r="G13" s="2" t="s">
        <v>379</v>
      </c>
      <c r="H13" s="2">
        <v>3</v>
      </c>
      <c r="I13" s="2"/>
      <c r="J13" s="2">
        <v>324</v>
      </c>
      <c r="K13" s="2"/>
      <c r="L13" s="1" t="s">
        <v>9</v>
      </c>
    </row>
    <row r="14" spans="1:12">
      <c r="A14" s="1">
        <v>12</v>
      </c>
      <c r="B14" s="2" t="s">
        <v>84</v>
      </c>
      <c r="C14" s="1" t="s">
        <v>99</v>
      </c>
      <c r="D14" s="2" t="s">
        <v>100</v>
      </c>
      <c r="E14" s="2" t="s">
        <v>21</v>
      </c>
      <c r="F14" s="5">
        <v>1</v>
      </c>
      <c r="G14" s="2" t="s">
        <v>89</v>
      </c>
      <c r="H14" s="2">
        <v>4</v>
      </c>
      <c r="I14" s="2"/>
      <c r="J14" s="2">
        <v>36</v>
      </c>
      <c r="K14" s="2"/>
      <c r="L14" s="1" t="s">
        <v>9</v>
      </c>
    </row>
    <row r="15" spans="1:12">
      <c r="A15" s="1">
        <v>13</v>
      </c>
      <c r="B15" s="2" t="s">
        <v>508</v>
      </c>
      <c r="C15" s="1" t="s">
        <v>99</v>
      </c>
      <c r="D15" s="2" t="s">
        <v>100</v>
      </c>
      <c r="E15" s="2" t="s">
        <v>19</v>
      </c>
      <c r="F15" s="5">
        <v>1</v>
      </c>
      <c r="G15" s="2" t="s">
        <v>89</v>
      </c>
      <c r="H15" s="2">
        <v>2</v>
      </c>
      <c r="I15" s="2"/>
      <c r="J15" s="2">
        <v>26</v>
      </c>
      <c r="K15" s="2"/>
      <c r="L15" s="1" t="s">
        <v>9</v>
      </c>
    </row>
    <row r="16" spans="1:12">
      <c r="A16" s="1">
        <v>14</v>
      </c>
      <c r="B16" s="2"/>
      <c r="C16" s="1" t="s">
        <v>99</v>
      </c>
      <c r="D16" s="2" t="s">
        <v>100</v>
      </c>
      <c r="E16" s="1" t="s">
        <v>72</v>
      </c>
      <c r="F16" s="5">
        <v>1</v>
      </c>
      <c r="G16" s="2" t="s">
        <v>73</v>
      </c>
      <c r="H16" s="2">
        <v>11</v>
      </c>
      <c r="I16" s="2"/>
      <c r="J16" s="2">
        <v>60</v>
      </c>
      <c r="K16" s="2"/>
      <c r="L16" s="1" t="s">
        <v>9</v>
      </c>
    </row>
    <row r="17" spans="1:12">
      <c r="A17" s="1">
        <v>15</v>
      </c>
      <c r="B17" s="2" t="s">
        <v>330</v>
      </c>
      <c r="C17" s="1" t="s">
        <v>99</v>
      </c>
      <c r="D17" s="2" t="s">
        <v>101</v>
      </c>
      <c r="E17" s="2" t="s">
        <v>21</v>
      </c>
      <c r="F17" s="5">
        <v>2</v>
      </c>
      <c r="G17" s="2" t="s">
        <v>509</v>
      </c>
      <c r="H17" s="2">
        <v>2</v>
      </c>
      <c r="I17" s="2"/>
      <c r="J17" s="2">
        <v>72</v>
      </c>
      <c r="K17" s="2"/>
      <c r="L17" s="1" t="s">
        <v>9</v>
      </c>
    </row>
    <row r="18" spans="1:12">
      <c r="A18" s="1">
        <v>16</v>
      </c>
      <c r="B18" s="2"/>
      <c r="C18" s="1" t="s">
        <v>99</v>
      </c>
      <c r="D18" s="2" t="s">
        <v>101</v>
      </c>
      <c r="E18" s="2" t="s">
        <v>123</v>
      </c>
      <c r="F18" s="5">
        <v>1</v>
      </c>
      <c r="G18" s="2" t="s">
        <v>124</v>
      </c>
      <c r="H18" s="2">
        <v>1</v>
      </c>
      <c r="I18" s="2"/>
      <c r="J18" s="2">
        <v>18</v>
      </c>
      <c r="K18" s="2"/>
      <c r="L18" s="1" t="s">
        <v>9</v>
      </c>
    </row>
    <row r="19" spans="1:12">
      <c r="A19" s="1">
        <v>17</v>
      </c>
      <c r="B19" s="2" t="s">
        <v>330</v>
      </c>
      <c r="C19" s="1" t="s">
        <v>99</v>
      </c>
      <c r="D19" s="2" t="s">
        <v>102</v>
      </c>
      <c r="E19" s="2" t="s">
        <v>21</v>
      </c>
      <c r="F19" s="5">
        <v>2</v>
      </c>
      <c r="G19" s="2" t="s">
        <v>509</v>
      </c>
      <c r="H19" s="2">
        <v>6</v>
      </c>
      <c r="I19" s="2"/>
      <c r="J19" s="2">
        <v>72</v>
      </c>
      <c r="K19" s="2"/>
      <c r="L19" s="1" t="s">
        <v>9</v>
      </c>
    </row>
    <row r="20" spans="1:12">
      <c r="A20" s="1">
        <v>18</v>
      </c>
      <c r="B20" s="2"/>
      <c r="C20" s="1" t="s">
        <v>99</v>
      </c>
      <c r="D20" s="2" t="s">
        <v>102</v>
      </c>
      <c r="E20" s="2" t="s">
        <v>72</v>
      </c>
      <c r="F20" s="5">
        <v>1</v>
      </c>
      <c r="G20" s="2" t="s">
        <v>73</v>
      </c>
      <c r="H20" s="2">
        <v>7</v>
      </c>
      <c r="I20" s="2"/>
      <c r="J20" s="2">
        <v>60</v>
      </c>
      <c r="K20" s="2"/>
      <c r="L20" s="1" t="s">
        <v>9</v>
      </c>
    </row>
    <row r="21" spans="1:12">
      <c r="A21" s="1">
        <v>19</v>
      </c>
      <c r="B21" s="2" t="s">
        <v>507</v>
      </c>
      <c r="C21" s="1" t="s">
        <v>99</v>
      </c>
      <c r="D21" s="2" t="s">
        <v>103</v>
      </c>
      <c r="E21" s="2" t="s">
        <v>21</v>
      </c>
      <c r="F21" s="5">
        <v>6</v>
      </c>
      <c r="G21" s="2" t="s">
        <v>379</v>
      </c>
      <c r="H21" s="2">
        <v>1</v>
      </c>
      <c r="I21" s="2"/>
      <c r="J21" s="2">
        <v>216</v>
      </c>
      <c r="K21" s="2"/>
      <c r="L21" s="1" t="s">
        <v>9</v>
      </c>
    </row>
    <row r="22" spans="1:12">
      <c r="A22" s="1">
        <v>20</v>
      </c>
      <c r="B22" s="2" t="s">
        <v>84</v>
      </c>
      <c r="C22" s="1" t="s">
        <v>99</v>
      </c>
      <c r="D22" s="2" t="s">
        <v>103</v>
      </c>
      <c r="E22" s="2" t="s">
        <v>21</v>
      </c>
      <c r="F22" s="5">
        <v>1</v>
      </c>
      <c r="G22" s="2" t="s">
        <v>89</v>
      </c>
      <c r="H22" s="2">
        <v>4</v>
      </c>
      <c r="I22" s="2"/>
      <c r="J22" s="2">
        <v>36</v>
      </c>
      <c r="K22" s="2"/>
      <c r="L22" s="1" t="s">
        <v>9</v>
      </c>
    </row>
    <row r="23" spans="1:12">
      <c r="A23" s="1">
        <v>21</v>
      </c>
      <c r="B23" s="2"/>
      <c r="C23" s="1" t="s">
        <v>99</v>
      </c>
      <c r="D23" s="2" t="s">
        <v>103</v>
      </c>
      <c r="E23" s="2" t="s">
        <v>72</v>
      </c>
      <c r="F23" s="5">
        <v>1</v>
      </c>
      <c r="G23" s="2" t="s">
        <v>73</v>
      </c>
      <c r="H23" s="2">
        <v>3</v>
      </c>
      <c r="I23" s="2"/>
      <c r="J23" s="2">
        <v>60</v>
      </c>
      <c r="K23" s="2"/>
      <c r="L23" s="1" t="s">
        <v>9</v>
      </c>
    </row>
    <row r="24" spans="1:12">
      <c r="A24" s="1">
        <v>22</v>
      </c>
      <c r="B24" s="2" t="s">
        <v>507</v>
      </c>
      <c r="C24" s="1" t="s">
        <v>99</v>
      </c>
      <c r="D24" s="2" t="s">
        <v>104</v>
      </c>
      <c r="E24" s="2" t="s">
        <v>21</v>
      </c>
      <c r="F24" s="5">
        <v>6</v>
      </c>
      <c r="G24" s="2" t="s">
        <v>379</v>
      </c>
      <c r="H24" s="2">
        <v>1</v>
      </c>
      <c r="I24" s="2"/>
      <c r="J24" s="2">
        <v>216</v>
      </c>
      <c r="K24" s="2"/>
      <c r="L24" s="1" t="s">
        <v>9</v>
      </c>
    </row>
    <row r="25" spans="1:12">
      <c r="A25" s="1">
        <v>23</v>
      </c>
      <c r="B25" s="2" t="s">
        <v>84</v>
      </c>
      <c r="C25" s="1" t="s">
        <v>99</v>
      </c>
      <c r="D25" s="2" t="s">
        <v>104</v>
      </c>
      <c r="E25" s="2" t="s">
        <v>21</v>
      </c>
      <c r="F25" s="5">
        <v>1</v>
      </c>
      <c r="G25" s="2" t="s">
        <v>89</v>
      </c>
      <c r="H25" s="2">
        <v>1</v>
      </c>
      <c r="I25" s="2"/>
      <c r="J25" s="2">
        <v>36</v>
      </c>
      <c r="K25" s="2"/>
      <c r="L25" s="1" t="s">
        <v>9</v>
      </c>
    </row>
    <row r="26" spans="1:12">
      <c r="A26" s="1">
        <v>24</v>
      </c>
      <c r="B26" s="2"/>
      <c r="C26" s="1" t="s">
        <v>99</v>
      </c>
      <c r="D26" s="2" t="s">
        <v>104</v>
      </c>
      <c r="E26" s="2" t="s">
        <v>72</v>
      </c>
      <c r="F26" s="5">
        <v>1</v>
      </c>
      <c r="G26" s="2" t="s">
        <v>73</v>
      </c>
      <c r="H26" s="2">
        <v>6</v>
      </c>
      <c r="I26" s="2"/>
      <c r="J26" s="2">
        <v>60</v>
      </c>
      <c r="K26" s="2"/>
      <c r="L26" s="1" t="s">
        <v>9</v>
      </c>
    </row>
    <row r="27" spans="1:12">
      <c r="A27" s="1">
        <v>25</v>
      </c>
      <c r="B27" s="2" t="s">
        <v>83</v>
      </c>
      <c r="C27" s="1" t="s">
        <v>99</v>
      </c>
      <c r="D27" s="2" t="s">
        <v>35</v>
      </c>
      <c r="E27" s="2" t="s">
        <v>21</v>
      </c>
      <c r="F27" s="5">
        <v>1</v>
      </c>
      <c r="G27" s="2" t="s">
        <v>89</v>
      </c>
      <c r="H27" s="2">
        <v>4</v>
      </c>
      <c r="I27" s="2"/>
      <c r="J27" s="2">
        <v>36</v>
      </c>
      <c r="K27" s="2"/>
      <c r="L27" s="1" t="s">
        <v>9</v>
      </c>
    </row>
    <row r="28" spans="1:12">
      <c r="A28" s="1">
        <v>26</v>
      </c>
      <c r="B28" s="1" t="s">
        <v>84</v>
      </c>
      <c r="C28" s="1" t="s">
        <v>99</v>
      </c>
      <c r="D28" s="2" t="s">
        <v>35</v>
      </c>
      <c r="E28" s="1" t="s">
        <v>21</v>
      </c>
      <c r="F28" s="5">
        <v>1</v>
      </c>
      <c r="G28" s="1" t="s">
        <v>89</v>
      </c>
      <c r="H28" s="2">
        <v>1</v>
      </c>
      <c r="I28" s="2"/>
      <c r="J28" s="2">
        <v>36</v>
      </c>
      <c r="K28" s="2"/>
      <c r="L28" s="1" t="s">
        <v>9</v>
      </c>
    </row>
    <row r="29" spans="1:12">
      <c r="A29" s="1">
        <v>27</v>
      </c>
      <c r="B29" s="1"/>
      <c r="C29" s="1" t="s">
        <v>99</v>
      </c>
      <c r="D29" s="2" t="s">
        <v>35</v>
      </c>
      <c r="E29" s="2" t="s">
        <v>72</v>
      </c>
      <c r="F29" s="5">
        <v>1</v>
      </c>
      <c r="G29" s="2" t="s">
        <v>73</v>
      </c>
      <c r="H29" s="2">
        <v>6</v>
      </c>
      <c r="I29" s="2"/>
      <c r="J29" s="2">
        <v>60</v>
      </c>
      <c r="K29" s="2"/>
      <c r="L29" s="1" t="s">
        <v>9</v>
      </c>
    </row>
    <row r="30" spans="1:12">
      <c r="A30" s="1">
        <v>28</v>
      </c>
      <c r="B30" s="1" t="s">
        <v>510</v>
      </c>
      <c r="C30" s="1" t="s">
        <v>99</v>
      </c>
      <c r="D30" s="2" t="s">
        <v>105</v>
      </c>
      <c r="E30" s="1" t="s">
        <v>21</v>
      </c>
      <c r="F30" s="5">
        <v>36</v>
      </c>
      <c r="G30" s="1" t="s">
        <v>518</v>
      </c>
      <c r="H30" s="2">
        <v>1</v>
      </c>
      <c r="I30" s="2"/>
      <c r="J30" s="2">
        <v>1296</v>
      </c>
      <c r="K30" s="2"/>
      <c r="L30" s="1" t="s">
        <v>9</v>
      </c>
    </row>
    <row r="31" spans="1:12">
      <c r="A31" s="1">
        <v>29</v>
      </c>
      <c r="B31" s="2" t="s">
        <v>84</v>
      </c>
      <c r="C31" s="1" t="s">
        <v>99</v>
      </c>
      <c r="D31" s="2" t="s">
        <v>105</v>
      </c>
      <c r="E31" s="1" t="s">
        <v>21</v>
      </c>
      <c r="F31" s="5">
        <v>1</v>
      </c>
      <c r="G31" s="1" t="s">
        <v>89</v>
      </c>
      <c r="H31" s="2">
        <v>12</v>
      </c>
      <c r="I31" s="2"/>
      <c r="J31" s="2">
        <v>36</v>
      </c>
      <c r="K31" s="2"/>
      <c r="L31" s="1" t="s">
        <v>9</v>
      </c>
    </row>
    <row r="32" spans="1:12">
      <c r="A32" s="1">
        <v>30</v>
      </c>
      <c r="B32" s="2"/>
      <c r="C32" s="1" t="s">
        <v>99</v>
      </c>
      <c r="D32" s="2" t="s">
        <v>105</v>
      </c>
      <c r="E32" s="2" t="s">
        <v>72</v>
      </c>
      <c r="F32" s="5">
        <v>1</v>
      </c>
      <c r="G32" s="2" t="s">
        <v>73</v>
      </c>
      <c r="H32" s="2">
        <v>7</v>
      </c>
      <c r="I32" s="2"/>
      <c r="J32" s="2">
        <v>60</v>
      </c>
      <c r="K32" s="2"/>
      <c r="L32" s="1" t="s">
        <v>9</v>
      </c>
    </row>
    <row r="33" spans="1:12">
      <c r="A33" s="1">
        <v>31</v>
      </c>
      <c r="B33" s="2"/>
      <c r="C33" s="1" t="s">
        <v>99</v>
      </c>
      <c r="D33" s="2" t="s">
        <v>105</v>
      </c>
      <c r="E33" s="2" t="s">
        <v>125</v>
      </c>
      <c r="F33" s="5">
        <v>1</v>
      </c>
      <c r="G33" s="2" t="s">
        <v>126</v>
      </c>
      <c r="H33" s="2">
        <v>5</v>
      </c>
      <c r="I33" s="2"/>
      <c r="J33" s="2">
        <v>100</v>
      </c>
      <c r="K33" s="2"/>
      <c r="L33" s="1" t="s">
        <v>9</v>
      </c>
    </row>
    <row r="34" spans="1:12">
      <c r="A34" s="1">
        <v>32</v>
      </c>
      <c r="B34" s="2" t="s">
        <v>84</v>
      </c>
      <c r="C34" s="1" t="s">
        <v>99</v>
      </c>
      <c r="D34" s="2" t="s">
        <v>102</v>
      </c>
      <c r="E34" s="1" t="s">
        <v>21</v>
      </c>
      <c r="F34" s="5">
        <v>1</v>
      </c>
      <c r="G34" s="2" t="s">
        <v>89</v>
      </c>
      <c r="H34" s="2">
        <v>8</v>
      </c>
      <c r="I34" s="2"/>
      <c r="J34" s="2">
        <v>36</v>
      </c>
      <c r="K34" s="2"/>
      <c r="L34" s="1" t="s">
        <v>9</v>
      </c>
    </row>
    <row r="35" spans="1:12">
      <c r="A35" s="1">
        <v>33</v>
      </c>
      <c r="B35" s="2"/>
      <c r="C35" s="1" t="s">
        <v>99</v>
      </c>
      <c r="D35" s="2" t="s">
        <v>102</v>
      </c>
      <c r="E35" s="2" t="s">
        <v>31</v>
      </c>
      <c r="F35" s="5">
        <v>1</v>
      </c>
      <c r="G35" s="2" t="s">
        <v>73</v>
      </c>
      <c r="H35" s="2">
        <v>28</v>
      </c>
      <c r="I35" s="2"/>
      <c r="J35" s="2"/>
      <c r="K35" s="2"/>
      <c r="L35" s="1" t="s">
        <v>9</v>
      </c>
    </row>
    <row r="36" spans="1:12">
      <c r="A36" s="1">
        <v>34</v>
      </c>
      <c r="B36" s="2" t="s">
        <v>83</v>
      </c>
      <c r="C36" s="1" t="s">
        <v>99</v>
      </c>
      <c r="D36" s="2" t="s">
        <v>11</v>
      </c>
      <c r="E36" s="1" t="s">
        <v>21</v>
      </c>
      <c r="F36" s="5">
        <v>1</v>
      </c>
      <c r="G36" s="2" t="s">
        <v>89</v>
      </c>
      <c r="H36" s="2">
        <v>68</v>
      </c>
      <c r="I36" s="2"/>
      <c r="J36" s="2">
        <v>36</v>
      </c>
      <c r="K36" s="2"/>
      <c r="L36" s="1" t="s">
        <v>9</v>
      </c>
    </row>
    <row r="37" spans="1:12">
      <c r="A37" s="1">
        <v>35</v>
      </c>
      <c r="B37" s="2"/>
      <c r="C37" s="1" t="s">
        <v>99</v>
      </c>
      <c r="D37" s="2" t="s">
        <v>11</v>
      </c>
      <c r="E37" s="1" t="s">
        <v>72</v>
      </c>
      <c r="F37" s="5">
        <v>1</v>
      </c>
      <c r="G37" s="2" t="s">
        <v>73</v>
      </c>
      <c r="H37" s="2">
        <v>9</v>
      </c>
      <c r="I37" s="2"/>
      <c r="J37" s="2">
        <v>60</v>
      </c>
      <c r="K37" s="2"/>
      <c r="L37" s="1" t="s">
        <v>9</v>
      </c>
    </row>
    <row r="38" spans="1:12">
      <c r="A38" s="1">
        <v>36</v>
      </c>
      <c r="B38" s="2"/>
      <c r="C38" s="1" t="s">
        <v>99</v>
      </c>
      <c r="D38" s="2" t="s">
        <v>11</v>
      </c>
      <c r="E38" s="1" t="s">
        <v>163</v>
      </c>
      <c r="F38" s="5">
        <v>1</v>
      </c>
      <c r="G38" s="2" t="s">
        <v>73</v>
      </c>
      <c r="H38" s="2">
        <v>1</v>
      </c>
      <c r="I38" s="2"/>
      <c r="J38" s="2">
        <v>27</v>
      </c>
      <c r="K38" s="2"/>
      <c r="L38" s="1" t="s">
        <v>9</v>
      </c>
    </row>
    <row r="39" spans="1:12">
      <c r="A39" s="1">
        <v>37</v>
      </c>
      <c r="B39" s="2"/>
      <c r="C39" s="1" t="s">
        <v>99</v>
      </c>
      <c r="D39" s="2" t="s">
        <v>11</v>
      </c>
      <c r="E39" s="1" t="s">
        <v>75</v>
      </c>
      <c r="F39" s="5">
        <v>1</v>
      </c>
      <c r="G39" s="2" t="s">
        <v>76</v>
      </c>
      <c r="H39" s="2">
        <v>5</v>
      </c>
      <c r="I39" s="2"/>
      <c r="J39" s="2"/>
      <c r="K39" s="2"/>
      <c r="L39" s="1" t="s">
        <v>9</v>
      </c>
    </row>
    <row r="40" spans="1:12">
      <c r="A40" s="1">
        <v>38</v>
      </c>
      <c r="B40" s="2" t="s">
        <v>28</v>
      </c>
      <c r="C40" s="1" t="s">
        <v>99</v>
      </c>
      <c r="D40" s="2" t="s">
        <v>57</v>
      </c>
      <c r="E40" s="2" t="s">
        <v>21</v>
      </c>
      <c r="F40" s="5">
        <v>1</v>
      </c>
      <c r="G40" s="2" t="s">
        <v>511</v>
      </c>
      <c r="H40" s="2">
        <v>2</v>
      </c>
      <c r="I40" s="2"/>
      <c r="J40" s="2">
        <v>36</v>
      </c>
      <c r="K40" s="2"/>
      <c r="L40" s="1" t="s">
        <v>9</v>
      </c>
    </row>
    <row r="41" spans="1:12">
      <c r="A41" s="1">
        <v>39</v>
      </c>
      <c r="B41" s="2"/>
      <c r="C41" s="1" t="s">
        <v>99</v>
      </c>
      <c r="D41" s="2" t="s">
        <v>57</v>
      </c>
      <c r="E41" s="1" t="s">
        <v>72</v>
      </c>
      <c r="F41" s="5">
        <v>1</v>
      </c>
      <c r="G41" s="2" t="s">
        <v>73</v>
      </c>
      <c r="H41" s="2">
        <v>1</v>
      </c>
      <c r="I41" s="2"/>
      <c r="J41" s="2">
        <v>60</v>
      </c>
      <c r="K41" s="2"/>
      <c r="L41" s="1" t="s">
        <v>9</v>
      </c>
    </row>
    <row r="42" spans="1:12">
      <c r="A42" s="1">
        <v>40</v>
      </c>
      <c r="B42" s="2" t="s">
        <v>79</v>
      </c>
      <c r="C42" s="1" t="s">
        <v>99</v>
      </c>
      <c r="D42" s="2" t="s">
        <v>36</v>
      </c>
      <c r="E42" s="1" t="s">
        <v>21</v>
      </c>
      <c r="F42" s="5">
        <v>1</v>
      </c>
      <c r="G42" s="2" t="s">
        <v>554</v>
      </c>
      <c r="H42" s="2">
        <v>1</v>
      </c>
      <c r="I42" s="2"/>
      <c r="J42" s="2">
        <v>36</v>
      </c>
      <c r="K42" s="2"/>
      <c r="L42" s="1" t="s">
        <v>9</v>
      </c>
    </row>
    <row r="43" spans="1:12">
      <c r="A43" s="1">
        <v>41</v>
      </c>
      <c r="B43" s="2" t="s">
        <v>80</v>
      </c>
      <c r="C43" s="1" t="s">
        <v>99</v>
      </c>
      <c r="D43" s="2" t="s">
        <v>36</v>
      </c>
      <c r="E43" s="1" t="s">
        <v>21</v>
      </c>
      <c r="F43" s="5">
        <v>1</v>
      </c>
      <c r="G43" s="2" t="s">
        <v>554</v>
      </c>
      <c r="H43" s="2">
        <v>1</v>
      </c>
      <c r="I43" s="2"/>
      <c r="J43" s="2">
        <v>36</v>
      </c>
      <c r="K43" s="2"/>
      <c r="L43" s="1" t="s">
        <v>9</v>
      </c>
    </row>
    <row r="44" spans="1:12">
      <c r="A44" s="1">
        <v>42</v>
      </c>
      <c r="B44" s="2" t="s">
        <v>512</v>
      </c>
      <c r="C44" s="1" t="s">
        <v>99</v>
      </c>
      <c r="D44" s="2" t="s">
        <v>127</v>
      </c>
      <c r="E44" s="1" t="s">
        <v>21</v>
      </c>
      <c r="F44" s="5">
        <v>1</v>
      </c>
      <c r="G44" s="2" t="s">
        <v>91</v>
      </c>
      <c r="H44" s="2">
        <v>2</v>
      </c>
      <c r="I44" s="2"/>
      <c r="J44" s="2">
        <v>36</v>
      </c>
      <c r="K44" s="2"/>
      <c r="L44" s="1" t="s">
        <v>9</v>
      </c>
    </row>
    <row r="45" spans="1:12">
      <c r="A45" s="1">
        <v>43</v>
      </c>
      <c r="B45" s="2" t="s">
        <v>85</v>
      </c>
      <c r="C45" s="1" t="s">
        <v>99</v>
      </c>
      <c r="D45" s="2" t="s">
        <v>38</v>
      </c>
      <c r="E45" s="1" t="s">
        <v>21</v>
      </c>
      <c r="F45" s="5">
        <v>1</v>
      </c>
      <c r="G45" s="2" t="s">
        <v>513</v>
      </c>
      <c r="H45" s="2">
        <v>1</v>
      </c>
      <c r="I45" s="2"/>
      <c r="J45" s="2">
        <v>36</v>
      </c>
      <c r="K45" s="2"/>
      <c r="L45" s="1" t="s">
        <v>9</v>
      </c>
    </row>
    <row r="46" spans="1:12">
      <c r="A46" s="1">
        <v>44</v>
      </c>
      <c r="B46" s="2" t="s">
        <v>86</v>
      </c>
      <c r="C46" s="1" t="s">
        <v>99</v>
      </c>
      <c r="D46" s="2" t="s">
        <v>39</v>
      </c>
      <c r="E46" s="2" t="s">
        <v>19</v>
      </c>
      <c r="F46" s="5">
        <v>1</v>
      </c>
      <c r="G46" s="2" t="s">
        <v>93</v>
      </c>
      <c r="H46" s="2">
        <v>1</v>
      </c>
      <c r="I46" s="2"/>
      <c r="J46" s="2">
        <v>26</v>
      </c>
      <c r="K46" s="2"/>
      <c r="L46" s="1" t="s">
        <v>9</v>
      </c>
    </row>
    <row r="47" spans="1:12">
      <c r="A47" s="1">
        <v>45</v>
      </c>
      <c r="B47" s="2" t="s">
        <v>20</v>
      </c>
      <c r="C47" s="1" t="s">
        <v>99</v>
      </c>
      <c r="D47" s="2" t="s">
        <v>106</v>
      </c>
      <c r="E47" s="2" t="s">
        <v>21</v>
      </c>
      <c r="F47" s="5">
        <v>1</v>
      </c>
      <c r="G47" s="2" t="s">
        <v>91</v>
      </c>
      <c r="H47" s="2">
        <v>1</v>
      </c>
      <c r="I47" s="2"/>
      <c r="J47" s="2">
        <v>36</v>
      </c>
      <c r="K47" s="2"/>
      <c r="L47" s="1" t="s">
        <v>9</v>
      </c>
    </row>
    <row r="48" spans="1:12">
      <c r="A48" s="1">
        <v>46</v>
      </c>
      <c r="B48" s="2" t="s">
        <v>81</v>
      </c>
      <c r="C48" s="1" t="s">
        <v>99</v>
      </c>
      <c r="D48" s="2" t="s">
        <v>107</v>
      </c>
      <c r="E48" s="2" t="s">
        <v>21</v>
      </c>
      <c r="F48" s="5">
        <v>2</v>
      </c>
      <c r="G48" s="2" t="s">
        <v>56</v>
      </c>
      <c r="H48" s="2">
        <v>16</v>
      </c>
      <c r="I48" s="2"/>
      <c r="J48" s="2">
        <v>72</v>
      </c>
      <c r="K48" s="2"/>
      <c r="L48" s="1" t="s">
        <v>9</v>
      </c>
    </row>
    <row r="49" spans="1:12">
      <c r="A49" s="1">
        <v>47</v>
      </c>
      <c r="B49" s="2"/>
      <c r="C49" s="1" t="s">
        <v>99</v>
      </c>
      <c r="D49" s="2" t="s">
        <v>128</v>
      </c>
      <c r="E49" s="1" t="s">
        <v>72</v>
      </c>
      <c r="F49" s="5">
        <v>1</v>
      </c>
      <c r="G49" s="2" t="s">
        <v>73</v>
      </c>
      <c r="H49" s="2">
        <v>29</v>
      </c>
      <c r="I49" s="2"/>
      <c r="J49" s="2">
        <v>60</v>
      </c>
      <c r="K49" s="2"/>
      <c r="L49" s="1" t="s">
        <v>9</v>
      </c>
    </row>
    <row r="50" spans="1:12">
      <c r="A50" s="1">
        <v>48</v>
      </c>
      <c r="B50" s="2" t="s">
        <v>507</v>
      </c>
      <c r="C50" s="1" t="s">
        <v>99</v>
      </c>
      <c r="D50" s="1" t="s">
        <v>108</v>
      </c>
      <c r="E50" s="2" t="s">
        <v>21</v>
      </c>
      <c r="F50" s="4">
        <v>6</v>
      </c>
      <c r="G50" s="1" t="s">
        <v>379</v>
      </c>
      <c r="H50" s="2">
        <v>2</v>
      </c>
      <c r="I50" s="1"/>
      <c r="J50" s="1">
        <v>216</v>
      </c>
      <c r="K50" s="1"/>
      <c r="L50" s="1" t="s">
        <v>9</v>
      </c>
    </row>
    <row r="51" spans="1:12">
      <c r="A51" s="1">
        <v>49</v>
      </c>
      <c r="B51" s="1" t="s">
        <v>84</v>
      </c>
      <c r="C51" s="1" t="s">
        <v>99</v>
      </c>
      <c r="D51" s="1" t="s">
        <v>108</v>
      </c>
      <c r="E51" s="1" t="s">
        <v>21</v>
      </c>
      <c r="F51" s="4">
        <v>1</v>
      </c>
      <c r="G51" s="2" t="s">
        <v>89</v>
      </c>
      <c r="H51" s="1">
        <v>1</v>
      </c>
      <c r="I51" s="1"/>
      <c r="J51" s="1">
        <v>36</v>
      </c>
      <c r="K51" s="2"/>
      <c r="L51" s="1" t="s">
        <v>9</v>
      </c>
    </row>
    <row r="52" spans="1:12">
      <c r="A52" s="1">
        <v>50</v>
      </c>
      <c r="B52" s="1" t="s">
        <v>514</v>
      </c>
      <c r="C52" s="1" t="s">
        <v>99</v>
      </c>
      <c r="D52" s="1" t="s">
        <v>108</v>
      </c>
      <c r="E52" s="2" t="s">
        <v>19</v>
      </c>
      <c r="F52" s="4">
        <v>1</v>
      </c>
      <c r="G52" s="1" t="s">
        <v>89</v>
      </c>
      <c r="H52" s="1">
        <v>1</v>
      </c>
      <c r="I52" s="1"/>
      <c r="J52" s="1">
        <v>26</v>
      </c>
      <c r="K52" s="1"/>
      <c r="L52" s="1" t="s">
        <v>9</v>
      </c>
    </row>
    <row r="53" spans="1:12">
      <c r="A53" s="1">
        <v>51</v>
      </c>
      <c r="B53" s="1"/>
      <c r="C53" s="1" t="s">
        <v>99</v>
      </c>
      <c r="D53" s="1" t="s">
        <v>108</v>
      </c>
      <c r="E53" s="1" t="s">
        <v>72</v>
      </c>
      <c r="F53" s="5">
        <v>1</v>
      </c>
      <c r="G53" s="2" t="s">
        <v>73</v>
      </c>
      <c r="H53" s="1">
        <v>9</v>
      </c>
      <c r="I53" s="1"/>
      <c r="J53" s="1">
        <v>60</v>
      </c>
      <c r="K53" s="1"/>
      <c r="L53" s="1" t="s">
        <v>9</v>
      </c>
    </row>
    <row r="54" spans="1:12">
      <c r="A54" s="1">
        <v>52</v>
      </c>
      <c r="B54" s="2" t="s">
        <v>507</v>
      </c>
      <c r="C54" s="1" t="s">
        <v>99</v>
      </c>
      <c r="D54" s="1" t="s">
        <v>108</v>
      </c>
      <c r="E54" s="2" t="s">
        <v>21</v>
      </c>
      <c r="F54" s="5">
        <v>6</v>
      </c>
      <c r="G54" s="2" t="s">
        <v>379</v>
      </c>
      <c r="H54" s="1">
        <v>2</v>
      </c>
      <c r="I54" s="2"/>
      <c r="J54" s="2">
        <v>216</v>
      </c>
      <c r="K54" s="2"/>
      <c r="L54" s="1" t="s">
        <v>9</v>
      </c>
    </row>
    <row r="55" spans="1:12">
      <c r="A55" s="1">
        <v>53</v>
      </c>
      <c r="B55" s="1" t="s">
        <v>84</v>
      </c>
      <c r="C55" s="1" t="s">
        <v>99</v>
      </c>
      <c r="D55" s="1" t="s">
        <v>108</v>
      </c>
      <c r="E55" s="1" t="s">
        <v>21</v>
      </c>
      <c r="F55" s="4">
        <v>1</v>
      </c>
      <c r="G55" s="1" t="s">
        <v>89</v>
      </c>
      <c r="H55" s="2">
        <v>1</v>
      </c>
      <c r="I55" s="1"/>
      <c r="J55" s="1">
        <v>36</v>
      </c>
      <c r="K55" s="1"/>
      <c r="L55" s="1" t="s">
        <v>9</v>
      </c>
    </row>
    <row r="56" spans="1:12">
      <c r="A56" s="1">
        <v>54</v>
      </c>
      <c r="B56" s="1" t="s">
        <v>514</v>
      </c>
      <c r="C56" s="1" t="s">
        <v>99</v>
      </c>
      <c r="D56" s="1" t="s">
        <v>108</v>
      </c>
      <c r="E56" s="1" t="s">
        <v>19</v>
      </c>
      <c r="F56" s="5">
        <v>1</v>
      </c>
      <c r="G56" s="1" t="s">
        <v>89</v>
      </c>
      <c r="H56" s="1">
        <v>1</v>
      </c>
      <c r="I56" s="1"/>
      <c r="J56" s="1">
        <v>26</v>
      </c>
      <c r="K56" s="1"/>
      <c r="L56" s="1" t="s">
        <v>9</v>
      </c>
    </row>
    <row r="57" spans="1:12">
      <c r="A57" s="1">
        <v>55</v>
      </c>
      <c r="B57" s="1"/>
      <c r="C57" s="1" t="s">
        <v>99</v>
      </c>
      <c r="D57" s="1" t="s">
        <v>108</v>
      </c>
      <c r="E57" s="1" t="s">
        <v>72</v>
      </c>
      <c r="F57" s="5">
        <v>1</v>
      </c>
      <c r="G57" s="2" t="s">
        <v>73</v>
      </c>
      <c r="H57" s="1">
        <v>9</v>
      </c>
      <c r="I57" s="1"/>
      <c r="J57" s="1">
        <v>60</v>
      </c>
      <c r="K57" s="1"/>
      <c r="L57" s="1" t="s">
        <v>9</v>
      </c>
    </row>
    <row r="58" spans="1:12">
      <c r="A58" s="1">
        <v>56</v>
      </c>
      <c r="B58" s="1" t="s">
        <v>515</v>
      </c>
      <c r="C58" s="1" t="s">
        <v>99</v>
      </c>
      <c r="D58" s="1" t="s">
        <v>109</v>
      </c>
      <c r="E58" s="1" t="s">
        <v>21</v>
      </c>
      <c r="F58" s="5">
        <v>2</v>
      </c>
      <c r="G58" s="1" t="s">
        <v>88</v>
      </c>
      <c r="H58" s="1">
        <v>9</v>
      </c>
      <c r="I58" s="1"/>
      <c r="J58" s="1">
        <v>72</v>
      </c>
      <c r="K58" s="1"/>
      <c r="L58" s="1" t="s">
        <v>9</v>
      </c>
    </row>
    <row r="59" spans="1:12">
      <c r="A59" s="1">
        <v>57</v>
      </c>
      <c r="B59" s="1" t="s">
        <v>82</v>
      </c>
      <c r="C59" s="1" t="s">
        <v>99</v>
      </c>
      <c r="D59" s="1" t="s">
        <v>109</v>
      </c>
      <c r="E59" s="1" t="s">
        <v>21</v>
      </c>
      <c r="F59" s="4">
        <v>1</v>
      </c>
      <c r="G59" s="1" t="s">
        <v>88</v>
      </c>
      <c r="H59" s="1">
        <v>10</v>
      </c>
      <c r="I59" s="1"/>
      <c r="J59" s="1">
        <v>36</v>
      </c>
      <c r="K59" s="1"/>
      <c r="L59" s="1" t="s">
        <v>9</v>
      </c>
    </row>
    <row r="60" spans="1:12">
      <c r="A60" s="1">
        <v>58</v>
      </c>
      <c r="B60" s="1" t="s">
        <v>516</v>
      </c>
      <c r="C60" s="1" t="s">
        <v>99</v>
      </c>
      <c r="D60" s="1" t="s">
        <v>105</v>
      </c>
      <c r="E60" s="1" t="s">
        <v>21</v>
      </c>
      <c r="F60" s="4">
        <v>18</v>
      </c>
      <c r="G60" s="1" t="s">
        <v>517</v>
      </c>
      <c r="H60" s="1">
        <v>3</v>
      </c>
      <c r="I60" s="1"/>
      <c r="J60" s="1">
        <v>648</v>
      </c>
      <c r="K60" s="1"/>
      <c r="L60" s="1" t="s">
        <v>9</v>
      </c>
    </row>
    <row r="61" spans="1:12">
      <c r="A61" s="1">
        <v>59</v>
      </c>
      <c r="B61" s="1"/>
      <c r="C61" s="1" t="s">
        <v>99</v>
      </c>
      <c r="D61" s="1" t="s">
        <v>105</v>
      </c>
      <c r="E61" s="1" t="s">
        <v>72</v>
      </c>
      <c r="F61" s="5">
        <v>1</v>
      </c>
      <c r="G61" s="2" t="s">
        <v>73</v>
      </c>
      <c r="H61" s="1">
        <v>12</v>
      </c>
      <c r="I61" s="1"/>
      <c r="J61" s="1">
        <v>60</v>
      </c>
      <c r="K61" s="1"/>
      <c r="L61" s="1" t="s">
        <v>9</v>
      </c>
    </row>
    <row r="62" spans="1:12">
      <c r="A62" s="1">
        <v>60</v>
      </c>
      <c r="B62" s="1" t="s">
        <v>81</v>
      </c>
      <c r="C62" s="1" t="s">
        <v>99</v>
      </c>
      <c r="D62" s="1" t="s">
        <v>110</v>
      </c>
      <c r="E62" s="1" t="s">
        <v>21</v>
      </c>
      <c r="F62" s="5">
        <v>2</v>
      </c>
      <c r="G62" s="2" t="s">
        <v>56</v>
      </c>
      <c r="H62" s="1">
        <v>12</v>
      </c>
      <c r="I62" s="1"/>
      <c r="J62" s="1">
        <v>72</v>
      </c>
      <c r="K62" s="1"/>
      <c r="L62" s="1" t="s">
        <v>9</v>
      </c>
    </row>
    <row r="63" spans="1:12">
      <c r="A63" s="1">
        <v>61</v>
      </c>
      <c r="B63" s="1" t="s">
        <v>330</v>
      </c>
      <c r="C63" s="1" t="s">
        <v>99</v>
      </c>
      <c r="D63" s="1" t="s">
        <v>110</v>
      </c>
      <c r="E63" s="1" t="s">
        <v>21</v>
      </c>
      <c r="F63" s="5">
        <v>2</v>
      </c>
      <c r="G63" s="2" t="s">
        <v>509</v>
      </c>
      <c r="H63" s="1">
        <v>2</v>
      </c>
      <c r="I63" s="1"/>
      <c r="J63" s="1">
        <v>72</v>
      </c>
      <c r="K63" s="1"/>
      <c r="L63" s="1" t="s">
        <v>9</v>
      </c>
    </row>
    <row r="64" spans="1:12">
      <c r="A64" s="1">
        <v>62</v>
      </c>
      <c r="B64" s="1" t="s">
        <v>84</v>
      </c>
      <c r="C64" s="1" t="s">
        <v>99</v>
      </c>
      <c r="D64" s="2" t="s">
        <v>111</v>
      </c>
      <c r="E64" s="1" t="s">
        <v>21</v>
      </c>
      <c r="F64" s="4">
        <v>1</v>
      </c>
      <c r="G64" s="1" t="s">
        <v>89</v>
      </c>
      <c r="H64" s="1">
        <v>2</v>
      </c>
      <c r="I64" s="1"/>
      <c r="J64" s="1">
        <v>36</v>
      </c>
      <c r="K64" s="1"/>
      <c r="L64" s="1" t="s">
        <v>9</v>
      </c>
    </row>
    <row r="65" spans="1:12">
      <c r="A65" s="1">
        <v>63</v>
      </c>
      <c r="B65" s="1"/>
      <c r="C65" s="1" t="s">
        <v>99</v>
      </c>
      <c r="D65" s="2" t="s">
        <v>111</v>
      </c>
      <c r="E65" s="1" t="s">
        <v>72</v>
      </c>
      <c r="F65" s="5">
        <v>1</v>
      </c>
      <c r="G65" s="2" t="s">
        <v>73</v>
      </c>
      <c r="H65" s="1">
        <v>1</v>
      </c>
      <c r="I65" s="1"/>
      <c r="J65" s="1">
        <v>60</v>
      </c>
      <c r="K65" s="1"/>
      <c r="L65" s="1" t="s">
        <v>9</v>
      </c>
    </row>
    <row r="66" spans="1:12">
      <c r="A66" s="1">
        <v>64</v>
      </c>
      <c r="B66" s="1"/>
      <c r="C66" s="1" t="s">
        <v>99</v>
      </c>
      <c r="D66" s="2" t="s">
        <v>111</v>
      </c>
      <c r="E66" s="1" t="s">
        <v>164</v>
      </c>
      <c r="F66" s="5">
        <v>1</v>
      </c>
      <c r="G66" s="2" t="s">
        <v>165</v>
      </c>
      <c r="H66" s="1">
        <v>1</v>
      </c>
      <c r="I66" s="1"/>
      <c r="J66" s="1">
        <v>22</v>
      </c>
      <c r="K66" s="1"/>
      <c r="L66" s="1" t="s">
        <v>9</v>
      </c>
    </row>
    <row r="67" spans="1:12">
      <c r="A67" s="1">
        <v>65</v>
      </c>
      <c r="B67" s="1" t="s">
        <v>519</v>
      </c>
      <c r="C67" s="1" t="s">
        <v>99</v>
      </c>
      <c r="D67" s="2" t="s">
        <v>112</v>
      </c>
      <c r="E67" s="1" t="s">
        <v>21</v>
      </c>
      <c r="F67" s="4">
        <v>2</v>
      </c>
      <c r="G67" s="1" t="s">
        <v>91</v>
      </c>
      <c r="H67" s="1">
        <v>1</v>
      </c>
      <c r="I67" s="1"/>
      <c r="J67" s="1">
        <v>72</v>
      </c>
      <c r="K67" s="1"/>
      <c r="L67" s="1" t="s">
        <v>9</v>
      </c>
    </row>
    <row r="68" spans="1:12">
      <c r="A68" s="1">
        <v>66</v>
      </c>
      <c r="B68" s="1" t="s">
        <v>81</v>
      </c>
      <c r="C68" s="1" t="s">
        <v>99</v>
      </c>
      <c r="D68" s="2" t="s">
        <v>113</v>
      </c>
      <c r="E68" s="1" t="s">
        <v>21</v>
      </c>
      <c r="F68" s="4">
        <v>2</v>
      </c>
      <c r="G68" s="1" t="s">
        <v>56</v>
      </c>
      <c r="H68" s="1">
        <v>16</v>
      </c>
      <c r="I68" s="1"/>
      <c r="J68" s="1">
        <v>72</v>
      </c>
      <c r="K68" s="1"/>
      <c r="L68" s="1" t="s">
        <v>9</v>
      </c>
    </row>
    <row r="69" spans="1:12">
      <c r="A69" s="1">
        <v>67</v>
      </c>
      <c r="B69" s="1" t="s">
        <v>520</v>
      </c>
      <c r="C69" s="1" t="s">
        <v>99</v>
      </c>
      <c r="D69" s="2" t="s">
        <v>113</v>
      </c>
      <c r="E69" s="1" t="s">
        <v>19</v>
      </c>
      <c r="F69" s="4">
        <v>2</v>
      </c>
      <c r="G69" s="1" t="s">
        <v>56</v>
      </c>
      <c r="H69" s="1">
        <v>4</v>
      </c>
      <c r="I69" s="1"/>
      <c r="J69" s="1">
        <v>38</v>
      </c>
      <c r="K69" s="1"/>
      <c r="L69" s="1" t="s">
        <v>9</v>
      </c>
    </row>
    <row r="70" spans="1:12">
      <c r="A70" s="1">
        <v>68</v>
      </c>
      <c r="B70" s="1"/>
      <c r="C70" s="1" t="s">
        <v>99</v>
      </c>
      <c r="D70" s="2" t="s">
        <v>113</v>
      </c>
      <c r="E70" s="1" t="s">
        <v>164</v>
      </c>
      <c r="F70" s="4">
        <v>1</v>
      </c>
      <c r="G70" s="1" t="s">
        <v>521</v>
      </c>
      <c r="H70" s="1">
        <v>17</v>
      </c>
      <c r="I70" s="1"/>
      <c r="J70" s="1">
        <v>22</v>
      </c>
      <c r="K70" s="1"/>
      <c r="L70" s="1" t="s">
        <v>9</v>
      </c>
    </row>
    <row r="71" spans="1:12">
      <c r="A71" s="1">
        <v>69</v>
      </c>
      <c r="B71" s="1" t="s">
        <v>82</v>
      </c>
      <c r="C71" s="1" t="s">
        <v>99</v>
      </c>
      <c r="D71" s="2" t="s">
        <v>34</v>
      </c>
      <c r="E71" s="1" t="s">
        <v>21</v>
      </c>
      <c r="F71" s="5">
        <v>1</v>
      </c>
      <c r="G71" s="1" t="s">
        <v>88</v>
      </c>
      <c r="H71" s="1">
        <v>10</v>
      </c>
      <c r="I71" s="1"/>
      <c r="J71" s="1">
        <v>36</v>
      </c>
      <c r="K71" s="1"/>
      <c r="L71" s="1" t="s">
        <v>9</v>
      </c>
    </row>
    <row r="72" spans="1:12">
      <c r="A72" s="1">
        <v>70</v>
      </c>
      <c r="B72" s="1" t="s">
        <v>20</v>
      </c>
      <c r="C72" s="1" t="s">
        <v>99</v>
      </c>
      <c r="D72" s="2" t="s">
        <v>58</v>
      </c>
      <c r="E72" s="1" t="s">
        <v>21</v>
      </c>
      <c r="F72" s="5">
        <v>1</v>
      </c>
      <c r="G72" s="1" t="s">
        <v>91</v>
      </c>
      <c r="H72" s="1">
        <v>1</v>
      </c>
      <c r="I72" s="1"/>
      <c r="J72" s="1">
        <v>36</v>
      </c>
      <c r="K72" s="1"/>
      <c r="L72" s="1" t="s">
        <v>9</v>
      </c>
    </row>
    <row r="73" spans="1:12">
      <c r="A73" s="1">
        <v>71</v>
      </c>
      <c r="B73" s="1"/>
      <c r="C73" s="1" t="s">
        <v>99</v>
      </c>
      <c r="D73" s="2" t="s">
        <v>58</v>
      </c>
      <c r="E73" s="1" t="s">
        <v>31</v>
      </c>
      <c r="F73" s="5">
        <v>1</v>
      </c>
      <c r="G73" s="2" t="s">
        <v>316</v>
      </c>
      <c r="H73" s="1">
        <v>3</v>
      </c>
      <c r="I73" s="1"/>
      <c r="J73" s="1"/>
      <c r="K73" s="2" t="s">
        <v>32</v>
      </c>
      <c r="L73" s="1" t="s">
        <v>9</v>
      </c>
    </row>
    <row r="74" spans="1:12">
      <c r="A74" s="1">
        <v>72</v>
      </c>
      <c r="B74" s="1" t="s">
        <v>20</v>
      </c>
      <c r="C74" s="1" t="s">
        <v>99</v>
      </c>
      <c r="D74" s="2" t="s">
        <v>59</v>
      </c>
      <c r="E74" s="1" t="s">
        <v>21</v>
      </c>
      <c r="F74" s="5">
        <v>1</v>
      </c>
      <c r="G74" s="2" t="s">
        <v>91</v>
      </c>
      <c r="H74" s="1">
        <v>1</v>
      </c>
      <c r="I74" s="1"/>
      <c r="J74" s="1">
        <v>36</v>
      </c>
      <c r="K74" s="2"/>
      <c r="L74" s="1" t="s">
        <v>9</v>
      </c>
    </row>
    <row r="75" spans="1:12">
      <c r="A75" s="1">
        <v>73</v>
      </c>
      <c r="B75" s="1"/>
      <c r="C75" s="1" t="s">
        <v>99</v>
      </c>
      <c r="D75" s="2" t="s">
        <v>59</v>
      </c>
      <c r="E75" s="1" t="s">
        <v>31</v>
      </c>
      <c r="F75" s="5">
        <v>1</v>
      </c>
      <c r="G75" s="2" t="s">
        <v>316</v>
      </c>
      <c r="H75" s="1">
        <v>2</v>
      </c>
      <c r="I75" s="1"/>
      <c r="J75" s="1"/>
      <c r="K75" s="2" t="s">
        <v>32</v>
      </c>
      <c r="L75" s="1" t="s">
        <v>9</v>
      </c>
    </row>
    <row r="76" spans="1:12">
      <c r="A76" s="1">
        <v>74</v>
      </c>
      <c r="B76" s="1" t="s">
        <v>28</v>
      </c>
      <c r="C76" s="1" t="s">
        <v>99</v>
      </c>
      <c r="D76" s="2" t="s">
        <v>45</v>
      </c>
      <c r="E76" s="1" t="s">
        <v>21</v>
      </c>
      <c r="F76" s="5">
        <v>1</v>
      </c>
      <c r="G76" s="2" t="s">
        <v>511</v>
      </c>
      <c r="H76" s="1">
        <v>3</v>
      </c>
      <c r="I76" s="1"/>
      <c r="J76" s="1">
        <v>36</v>
      </c>
      <c r="K76" s="1"/>
      <c r="L76" s="1" t="s">
        <v>9</v>
      </c>
    </row>
    <row r="77" spans="1:12">
      <c r="A77" s="1">
        <v>75</v>
      </c>
      <c r="B77" s="1" t="s">
        <v>79</v>
      </c>
      <c r="C77" s="1" t="s">
        <v>99</v>
      </c>
      <c r="D77" s="2" t="s">
        <v>46</v>
      </c>
      <c r="E77" s="1" t="s">
        <v>21</v>
      </c>
      <c r="F77" s="5">
        <v>1</v>
      </c>
      <c r="G77" s="2" t="s">
        <v>554</v>
      </c>
      <c r="H77" s="1">
        <v>1</v>
      </c>
      <c r="I77" s="1"/>
      <c r="J77" s="1">
        <v>36</v>
      </c>
      <c r="K77" s="1"/>
      <c r="L77" s="1" t="s">
        <v>9</v>
      </c>
    </row>
    <row r="78" spans="1:12">
      <c r="A78" s="1">
        <v>76</v>
      </c>
      <c r="B78" s="1" t="s">
        <v>80</v>
      </c>
      <c r="C78" s="1" t="s">
        <v>99</v>
      </c>
      <c r="D78" s="2" t="s">
        <v>46</v>
      </c>
      <c r="E78" s="1" t="s">
        <v>21</v>
      </c>
      <c r="F78" s="5">
        <v>1</v>
      </c>
      <c r="G78" s="2" t="s">
        <v>554</v>
      </c>
      <c r="H78" s="1">
        <v>1</v>
      </c>
      <c r="I78" s="1"/>
      <c r="J78" s="1">
        <v>36</v>
      </c>
      <c r="K78" s="1"/>
      <c r="L78" s="1" t="s">
        <v>9</v>
      </c>
    </row>
    <row r="79" spans="1:12">
      <c r="A79" s="1">
        <v>77</v>
      </c>
      <c r="B79" s="1" t="s">
        <v>20</v>
      </c>
      <c r="C79" s="1" t="s">
        <v>99</v>
      </c>
      <c r="D79" s="2" t="s">
        <v>60</v>
      </c>
      <c r="E79" s="1" t="s">
        <v>21</v>
      </c>
      <c r="F79" s="5">
        <v>1</v>
      </c>
      <c r="G79" s="2" t="s">
        <v>91</v>
      </c>
      <c r="H79" s="1">
        <v>1</v>
      </c>
      <c r="I79" s="1"/>
      <c r="J79" s="1">
        <v>36</v>
      </c>
      <c r="K79" s="1"/>
      <c r="L79" s="1" t="s">
        <v>9</v>
      </c>
    </row>
    <row r="80" spans="1:12">
      <c r="A80" s="1">
        <v>78</v>
      </c>
      <c r="B80" s="1" t="s">
        <v>20</v>
      </c>
      <c r="C80" s="1" t="s">
        <v>99</v>
      </c>
      <c r="D80" s="2" t="s">
        <v>47</v>
      </c>
      <c r="E80" s="1" t="s">
        <v>21</v>
      </c>
      <c r="F80" s="5">
        <v>1</v>
      </c>
      <c r="G80" s="1" t="s">
        <v>91</v>
      </c>
      <c r="H80" s="1">
        <v>1</v>
      </c>
      <c r="I80" s="1"/>
      <c r="J80" s="1">
        <v>36</v>
      </c>
      <c r="K80" s="1"/>
      <c r="L80" s="1" t="s">
        <v>9</v>
      </c>
    </row>
    <row r="81" spans="1:12">
      <c r="A81" s="1">
        <v>79</v>
      </c>
      <c r="B81" s="1" t="s">
        <v>78</v>
      </c>
      <c r="C81" s="1" t="s">
        <v>99</v>
      </c>
      <c r="D81" s="2" t="s">
        <v>61</v>
      </c>
      <c r="E81" s="1" t="s">
        <v>19</v>
      </c>
      <c r="F81" s="5">
        <v>1</v>
      </c>
      <c r="G81" s="1" t="s">
        <v>522</v>
      </c>
      <c r="H81" s="1">
        <v>1</v>
      </c>
      <c r="I81" s="1"/>
      <c r="J81" s="1">
        <v>26</v>
      </c>
      <c r="K81" s="1"/>
      <c r="L81" s="1" t="s">
        <v>9</v>
      </c>
    </row>
    <row r="82" spans="1:12">
      <c r="A82" s="1">
        <v>80</v>
      </c>
      <c r="B82" s="1" t="s">
        <v>81</v>
      </c>
      <c r="C82" s="1" t="s">
        <v>99</v>
      </c>
      <c r="D82" s="2" t="s">
        <v>115</v>
      </c>
      <c r="E82" s="1" t="s">
        <v>21</v>
      </c>
      <c r="F82" s="5">
        <v>2</v>
      </c>
      <c r="G82" s="1" t="s">
        <v>56</v>
      </c>
      <c r="H82" s="1">
        <v>59</v>
      </c>
      <c r="I82" s="1"/>
      <c r="J82" s="1">
        <v>72</v>
      </c>
      <c r="K82" s="1"/>
      <c r="L82" s="1" t="s">
        <v>9</v>
      </c>
    </row>
    <row r="83" spans="1:12">
      <c r="A83" s="1">
        <v>81</v>
      </c>
      <c r="B83" s="1" t="s">
        <v>515</v>
      </c>
      <c r="C83" s="1" t="s">
        <v>99</v>
      </c>
      <c r="D83" s="2" t="s">
        <v>116</v>
      </c>
      <c r="E83" s="1" t="s">
        <v>21</v>
      </c>
      <c r="F83" s="5">
        <v>2</v>
      </c>
      <c r="G83" s="1" t="s">
        <v>88</v>
      </c>
      <c r="H83" s="1">
        <v>34</v>
      </c>
      <c r="I83" s="1"/>
      <c r="J83" s="1">
        <v>72</v>
      </c>
      <c r="K83" s="1"/>
      <c r="L83" s="1" t="s">
        <v>9</v>
      </c>
    </row>
    <row r="84" spans="1:12">
      <c r="A84" s="1">
        <v>82</v>
      </c>
      <c r="B84" s="1" t="s">
        <v>82</v>
      </c>
      <c r="C84" s="1" t="s">
        <v>99</v>
      </c>
      <c r="D84" s="2" t="s">
        <v>116</v>
      </c>
      <c r="E84" s="1" t="s">
        <v>21</v>
      </c>
      <c r="F84" s="5">
        <v>1</v>
      </c>
      <c r="G84" s="1" t="s">
        <v>88</v>
      </c>
      <c r="H84" s="1">
        <v>4</v>
      </c>
      <c r="I84" s="1"/>
      <c r="J84" s="1">
        <v>36</v>
      </c>
      <c r="K84" s="1"/>
      <c r="L84" s="1" t="s">
        <v>9</v>
      </c>
    </row>
    <row r="85" spans="1:12">
      <c r="A85" s="1">
        <v>83</v>
      </c>
      <c r="B85" s="1"/>
      <c r="C85" s="1" t="s">
        <v>99</v>
      </c>
      <c r="D85" s="2" t="s">
        <v>116</v>
      </c>
      <c r="E85" s="1" t="s">
        <v>72</v>
      </c>
      <c r="F85" s="5">
        <v>1</v>
      </c>
      <c r="G85" s="1" t="s">
        <v>132</v>
      </c>
      <c r="H85" s="1">
        <v>1</v>
      </c>
      <c r="I85" s="1"/>
      <c r="J85" s="1">
        <v>60</v>
      </c>
      <c r="K85" s="1"/>
      <c r="L85" s="1" t="s">
        <v>9</v>
      </c>
    </row>
    <row r="86" spans="1:12">
      <c r="A86" s="1">
        <v>84</v>
      </c>
      <c r="B86" s="1" t="s">
        <v>82</v>
      </c>
      <c r="C86" s="1" t="s">
        <v>99</v>
      </c>
      <c r="D86" s="2" t="s">
        <v>117</v>
      </c>
      <c r="E86" s="1" t="s">
        <v>21</v>
      </c>
      <c r="F86" s="5">
        <v>1</v>
      </c>
      <c r="G86" s="1" t="s">
        <v>88</v>
      </c>
      <c r="H86" s="1">
        <v>2</v>
      </c>
      <c r="I86" s="1"/>
      <c r="J86" s="1">
        <v>36</v>
      </c>
      <c r="K86" s="1"/>
      <c r="L86" s="1" t="s">
        <v>9</v>
      </c>
    </row>
    <row r="87" spans="1:12">
      <c r="A87" s="1">
        <v>85</v>
      </c>
      <c r="B87" s="1" t="s">
        <v>20</v>
      </c>
      <c r="C87" s="1" t="s">
        <v>99</v>
      </c>
      <c r="D87" s="2" t="s">
        <v>118</v>
      </c>
      <c r="E87" s="1" t="s">
        <v>21</v>
      </c>
      <c r="F87" s="5">
        <v>1</v>
      </c>
      <c r="G87" s="1" t="s">
        <v>88</v>
      </c>
      <c r="H87" s="1">
        <v>3</v>
      </c>
      <c r="I87" s="1"/>
      <c r="J87" s="1">
        <v>36</v>
      </c>
      <c r="K87" s="1"/>
      <c r="L87" s="1" t="s">
        <v>9</v>
      </c>
    </row>
    <row r="88" spans="1:12">
      <c r="A88" s="1">
        <v>86</v>
      </c>
      <c r="B88" s="1" t="s">
        <v>523</v>
      </c>
      <c r="C88" s="1" t="s">
        <v>99</v>
      </c>
      <c r="D88" s="2" t="s">
        <v>119</v>
      </c>
      <c r="E88" s="1" t="s">
        <v>21</v>
      </c>
      <c r="F88" s="5">
        <v>1</v>
      </c>
      <c r="G88" s="1" t="s">
        <v>91</v>
      </c>
      <c r="H88" s="1">
        <v>3</v>
      </c>
      <c r="I88" s="1"/>
      <c r="J88" s="1">
        <v>36</v>
      </c>
      <c r="K88" s="1"/>
      <c r="L88" s="1" t="s">
        <v>9</v>
      </c>
    </row>
    <row r="89" spans="1:12">
      <c r="A89" s="1">
        <v>87</v>
      </c>
      <c r="B89" s="1" t="s">
        <v>87</v>
      </c>
      <c r="C89" s="1" t="s">
        <v>99</v>
      </c>
      <c r="D89" s="2" t="s">
        <v>120</v>
      </c>
      <c r="E89" s="1" t="s">
        <v>21</v>
      </c>
      <c r="F89" s="5">
        <v>2</v>
      </c>
      <c r="G89" s="1" t="s">
        <v>509</v>
      </c>
      <c r="H89" s="1">
        <v>12</v>
      </c>
      <c r="I89" s="1"/>
      <c r="J89" s="1">
        <v>72</v>
      </c>
      <c r="K89" s="1"/>
      <c r="L89" s="1" t="s">
        <v>9</v>
      </c>
    </row>
    <row r="90" spans="1:12">
      <c r="A90" s="1">
        <v>88</v>
      </c>
      <c r="B90" s="1" t="s">
        <v>20</v>
      </c>
      <c r="C90" s="1" t="s">
        <v>99</v>
      </c>
      <c r="D90" s="2" t="s">
        <v>129</v>
      </c>
      <c r="E90" s="1" t="s">
        <v>21</v>
      </c>
      <c r="F90" s="5">
        <v>1</v>
      </c>
      <c r="G90" s="1" t="s">
        <v>91</v>
      </c>
      <c r="H90" s="1">
        <v>2</v>
      </c>
      <c r="I90" s="1"/>
      <c r="J90" s="1">
        <v>36</v>
      </c>
      <c r="K90" s="1"/>
      <c r="L90" s="1" t="s">
        <v>9</v>
      </c>
    </row>
    <row r="91" spans="1:12">
      <c r="A91" s="1">
        <v>89</v>
      </c>
      <c r="B91" s="1" t="s">
        <v>85</v>
      </c>
      <c r="C91" s="1" t="s">
        <v>99</v>
      </c>
      <c r="D91" s="2" t="s">
        <v>64</v>
      </c>
      <c r="E91" s="1" t="s">
        <v>21</v>
      </c>
      <c r="F91" s="5">
        <v>1</v>
      </c>
      <c r="G91" s="1" t="s">
        <v>524</v>
      </c>
      <c r="H91" s="1">
        <v>1</v>
      </c>
      <c r="I91" s="1"/>
      <c r="J91" s="1">
        <v>36</v>
      </c>
      <c r="K91" s="1"/>
      <c r="L91" s="1" t="s">
        <v>9</v>
      </c>
    </row>
    <row r="92" spans="1:12">
      <c r="A92" s="1">
        <v>90</v>
      </c>
      <c r="B92" s="1" t="s">
        <v>86</v>
      </c>
      <c r="C92" s="1" t="s">
        <v>99</v>
      </c>
      <c r="D92" s="2" t="s">
        <v>49</v>
      </c>
      <c r="E92" s="1" t="s">
        <v>19</v>
      </c>
      <c r="F92" s="5">
        <v>1</v>
      </c>
      <c r="G92" s="1" t="s">
        <v>525</v>
      </c>
      <c r="H92" s="1">
        <v>1</v>
      </c>
      <c r="I92" s="1"/>
      <c r="J92" s="1">
        <v>26</v>
      </c>
      <c r="K92" s="1"/>
      <c r="L92" s="1" t="s">
        <v>9</v>
      </c>
    </row>
    <row r="93" spans="1:12">
      <c r="A93" s="1">
        <v>91</v>
      </c>
      <c r="B93" s="1" t="s">
        <v>28</v>
      </c>
      <c r="C93" s="1" t="s">
        <v>99</v>
      </c>
      <c r="D93" s="2" t="s">
        <v>65</v>
      </c>
      <c r="E93" s="1" t="s">
        <v>21</v>
      </c>
      <c r="F93" s="5">
        <v>1</v>
      </c>
      <c r="G93" s="1" t="s">
        <v>511</v>
      </c>
      <c r="H93" s="1">
        <v>2</v>
      </c>
      <c r="I93" s="1"/>
      <c r="J93" s="1">
        <v>36</v>
      </c>
      <c r="K93" s="1"/>
      <c r="L93" s="1" t="s">
        <v>9</v>
      </c>
    </row>
    <row r="94" spans="1:12">
      <c r="A94" s="1">
        <v>92</v>
      </c>
      <c r="B94" s="1"/>
      <c r="C94" s="1" t="s">
        <v>99</v>
      </c>
      <c r="D94" s="2" t="s">
        <v>65</v>
      </c>
      <c r="E94" s="1" t="s">
        <v>72</v>
      </c>
      <c r="F94" s="5">
        <v>1</v>
      </c>
      <c r="G94" s="2" t="s">
        <v>73</v>
      </c>
      <c r="H94" s="1">
        <v>1</v>
      </c>
      <c r="I94" s="1"/>
      <c r="J94" s="1">
        <v>60</v>
      </c>
      <c r="K94" s="1"/>
      <c r="L94" s="1" t="s">
        <v>9</v>
      </c>
    </row>
    <row r="95" spans="1:12">
      <c r="A95" s="1">
        <v>93</v>
      </c>
      <c r="B95" s="1" t="s">
        <v>79</v>
      </c>
      <c r="C95" s="1" t="s">
        <v>99</v>
      </c>
      <c r="D95" s="2" t="s">
        <v>50</v>
      </c>
      <c r="E95" s="1" t="s">
        <v>21</v>
      </c>
      <c r="F95" s="5">
        <v>1</v>
      </c>
      <c r="G95" s="1" t="s">
        <v>554</v>
      </c>
      <c r="H95" s="1">
        <v>1</v>
      </c>
      <c r="I95" s="1"/>
      <c r="J95" s="1">
        <v>36</v>
      </c>
      <c r="K95" s="1"/>
      <c r="L95" s="1" t="s">
        <v>9</v>
      </c>
    </row>
    <row r="96" spans="1:12">
      <c r="A96" s="1">
        <v>94</v>
      </c>
      <c r="B96" s="1" t="s">
        <v>80</v>
      </c>
      <c r="C96" s="1" t="s">
        <v>99</v>
      </c>
      <c r="D96" s="2" t="s">
        <v>50</v>
      </c>
      <c r="E96" s="1" t="s">
        <v>21</v>
      </c>
      <c r="F96" s="5">
        <v>1</v>
      </c>
      <c r="G96" s="1" t="s">
        <v>554</v>
      </c>
      <c r="H96" s="1">
        <v>1</v>
      </c>
      <c r="I96" s="1"/>
      <c r="J96" s="1">
        <v>36</v>
      </c>
      <c r="K96" s="1"/>
      <c r="L96" s="1" t="s">
        <v>9</v>
      </c>
    </row>
    <row r="97" spans="1:12">
      <c r="A97" s="1">
        <v>95</v>
      </c>
      <c r="B97" s="1" t="s">
        <v>330</v>
      </c>
      <c r="C97" s="1" t="s">
        <v>99</v>
      </c>
      <c r="D97" s="2" t="s">
        <v>121</v>
      </c>
      <c r="E97" s="1" t="s">
        <v>21</v>
      </c>
      <c r="F97" s="5">
        <v>2</v>
      </c>
      <c r="G97" s="1" t="s">
        <v>509</v>
      </c>
      <c r="H97" s="1">
        <v>4</v>
      </c>
      <c r="I97" s="1"/>
      <c r="J97" s="1">
        <v>72</v>
      </c>
      <c r="K97" s="1"/>
      <c r="L97" s="1" t="s">
        <v>9</v>
      </c>
    </row>
    <row r="98" spans="1:12">
      <c r="A98" s="1">
        <v>96</v>
      </c>
      <c r="B98" s="1" t="s">
        <v>330</v>
      </c>
      <c r="C98" s="1" t="s">
        <v>99</v>
      </c>
      <c r="D98" s="2" t="s">
        <v>122</v>
      </c>
      <c r="E98" s="1" t="s">
        <v>21</v>
      </c>
      <c r="F98" s="5">
        <v>2</v>
      </c>
      <c r="G98" s="1" t="s">
        <v>509</v>
      </c>
      <c r="H98" s="1">
        <v>2</v>
      </c>
      <c r="I98" s="1"/>
      <c r="J98" s="1">
        <v>72</v>
      </c>
      <c r="K98" s="1"/>
      <c r="L98" s="1" t="s">
        <v>9</v>
      </c>
    </row>
    <row r="99" spans="1:12">
      <c r="A99" s="1">
        <v>97</v>
      </c>
      <c r="B99" s="1" t="s">
        <v>81</v>
      </c>
      <c r="C99" s="1" t="s">
        <v>99</v>
      </c>
      <c r="D99" s="2" t="s">
        <v>52</v>
      </c>
      <c r="E99" s="1" t="s">
        <v>21</v>
      </c>
      <c r="F99" s="5">
        <v>2</v>
      </c>
      <c r="G99" s="1" t="s">
        <v>56</v>
      </c>
      <c r="H99" s="1">
        <v>4</v>
      </c>
      <c r="I99" s="1"/>
      <c r="J99" s="1">
        <v>72</v>
      </c>
      <c r="K99" s="1"/>
      <c r="L99" s="1" t="s">
        <v>9</v>
      </c>
    </row>
    <row r="100" spans="1:12">
      <c r="A100" s="1">
        <v>98</v>
      </c>
      <c r="B100" s="1" t="s">
        <v>81</v>
      </c>
      <c r="C100" s="1" t="s">
        <v>99</v>
      </c>
      <c r="D100" s="2" t="s">
        <v>130</v>
      </c>
      <c r="E100" s="1" t="s">
        <v>21</v>
      </c>
      <c r="F100" s="5">
        <v>2</v>
      </c>
      <c r="G100" s="1" t="s">
        <v>56</v>
      </c>
      <c r="H100" s="2">
        <v>80</v>
      </c>
      <c r="I100" s="1"/>
      <c r="J100" s="1">
        <v>72</v>
      </c>
      <c r="K100" s="1"/>
      <c r="L100" s="1" t="s">
        <v>9</v>
      </c>
    </row>
    <row r="101" spans="1:12">
      <c r="A101" s="1">
        <v>99</v>
      </c>
      <c r="B101" s="1" t="s">
        <v>81</v>
      </c>
      <c r="C101" s="1" t="s">
        <v>99</v>
      </c>
      <c r="D101" s="2" t="s">
        <v>131</v>
      </c>
      <c r="E101" s="1" t="s">
        <v>21</v>
      </c>
      <c r="F101" s="5">
        <v>2</v>
      </c>
      <c r="G101" s="1" t="s">
        <v>56</v>
      </c>
      <c r="H101" s="2">
        <v>20</v>
      </c>
      <c r="I101" s="1"/>
      <c r="J101" s="1">
        <v>72</v>
      </c>
      <c r="K101" s="1"/>
      <c r="L101" s="1" t="s">
        <v>9</v>
      </c>
    </row>
    <row r="102" spans="1:12">
      <c r="A102" s="7"/>
      <c r="B102" s="7"/>
      <c r="C102" s="7"/>
      <c r="D102" s="6"/>
      <c r="E102" s="7"/>
      <c r="F102" s="7"/>
      <c r="G102" s="7"/>
      <c r="H102" s="6">
        <f>SUM(H3:H101)</f>
        <v>655</v>
      </c>
      <c r="I102" s="7"/>
      <c r="J102" s="7"/>
      <c r="K102" s="7"/>
      <c r="L102" s="7"/>
    </row>
    <row r="103" spans="1:12">
      <c r="D103" s="6"/>
      <c r="E103" s="7"/>
      <c r="F103" s="7"/>
      <c r="G103" s="7"/>
      <c r="H103" s="7"/>
      <c r="I103" s="7"/>
      <c r="J103" s="7"/>
      <c r="K103" s="7"/>
    </row>
    <row r="104" spans="1:12">
      <c r="A104" t="s">
        <v>77</v>
      </c>
      <c r="D104" s="6"/>
    </row>
    <row r="105" spans="1:12">
      <c r="A105" s="1">
        <v>102</v>
      </c>
      <c r="B105" s="2" t="s">
        <v>67</v>
      </c>
      <c r="C105" s="2" t="s">
        <v>99</v>
      </c>
      <c r="D105" s="2" t="s">
        <v>57</v>
      </c>
      <c r="E105" s="1" t="s">
        <v>97</v>
      </c>
      <c r="F105" s="4">
        <v>1</v>
      </c>
      <c r="G105" s="1" t="s">
        <v>594</v>
      </c>
      <c r="H105" s="1">
        <v>1</v>
      </c>
      <c r="I105" s="1">
        <v>8760</v>
      </c>
      <c r="J105" s="1">
        <v>4</v>
      </c>
      <c r="K105" s="1"/>
      <c r="L105" s="1" t="s">
        <v>9</v>
      </c>
    </row>
    <row r="106" spans="1:12">
      <c r="A106" s="1">
        <v>103</v>
      </c>
      <c r="B106" s="2" t="s">
        <v>69</v>
      </c>
      <c r="C106" s="2" t="s">
        <v>99</v>
      </c>
      <c r="D106" s="2" t="s">
        <v>39</v>
      </c>
      <c r="E106" s="1" t="s">
        <v>97</v>
      </c>
      <c r="F106" s="4">
        <v>1</v>
      </c>
      <c r="G106" s="1" t="s">
        <v>594</v>
      </c>
      <c r="H106" s="1">
        <v>1</v>
      </c>
      <c r="I106" s="1">
        <v>8760</v>
      </c>
      <c r="J106" s="1">
        <v>4</v>
      </c>
      <c r="K106" s="1"/>
      <c r="L106" s="1" t="s">
        <v>9</v>
      </c>
    </row>
    <row r="107" spans="1:12">
      <c r="A107" s="1">
        <v>104</v>
      </c>
      <c r="B107" s="2" t="s">
        <v>67</v>
      </c>
      <c r="C107" s="2" t="s">
        <v>99</v>
      </c>
      <c r="D107" s="2" t="s">
        <v>45</v>
      </c>
      <c r="E107" s="1" t="s">
        <v>97</v>
      </c>
      <c r="F107" s="4">
        <v>1</v>
      </c>
      <c r="G107" s="1" t="s">
        <v>594</v>
      </c>
      <c r="H107" s="1">
        <v>1</v>
      </c>
      <c r="I107" s="1">
        <v>8760</v>
      </c>
      <c r="J107" s="1">
        <v>4</v>
      </c>
      <c r="K107" s="1"/>
      <c r="L107" s="1" t="s">
        <v>9</v>
      </c>
    </row>
    <row r="108" spans="1:12">
      <c r="A108" s="1">
        <v>105</v>
      </c>
      <c r="B108" s="2" t="s">
        <v>68</v>
      </c>
      <c r="C108" s="2" t="s">
        <v>99</v>
      </c>
      <c r="D108" s="2" t="s">
        <v>45</v>
      </c>
      <c r="E108" s="1" t="s">
        <v>98</v>
      </c>
      <c r="F108" s="4">
        <v>1</v>
      </c>
      <c r="G108" s="1" t="s">
        <v>594</v>
      </c>
      <c r="H108" s="1">
        <v>1</v>
      </c>
      <c r="I108" s="1">
        <v>8760</v>
      </c>
      <c r="J108" s="1">
        <v>4</v>
      </c>
      <c r="K108" s="1"/>
      <c r="L108" s="1" t="s">
        <v>9</v>
      </c>
    </row>
    <row r="109" spans="1:12">
      <c r="A109" s="1">
        <v>106</v>
      </c>
      <c r="B109" s="2" t="s">
        <v>67</v>
      </c>
      <c r="C109" s="2" t="s">
        <v>99</v>
      </c>
      <c r="D109" s="2" t="s">
        <v>65</v>
      </c>
      <c r="E109" s="1" t="s">
        <v>97</v>
      </c>
      <c r="F109" s="4">
        <v>1</v>
      </c>
      <c r="G109" s="1" t="s">
        <v>594</v>
      </c>
      <c r="H109" s="1">
        <v>1</v>
      </c>
      <c r="I109" s="1">
        <v>8760</v>
      </c>
      <c r="J109" s="1">
        <v>4</v>
      </c>
      <c r="K109" s="1"/>
      <c r="L109" s="1" t="s">
        <v>9</v>
      </c>
    </row>
    <row r="110" spans="1:12">
      <c r="A110" s="1">
        <v>107</v>
      </c>
      <c r="B110" s="2" t="s">
        <v>69</v>
      </c>
      <c r="C110" s="2" t="s">
        <v>99</v>
      </c>
      <c r="D110" s="2" t="s">
        <v>49</v>
      </c>
      <c r="E110" s="1" t="s">
        <v>97</v>
      </c>
      <c r="F110" s="4">
        <v>1</v>
      </c>
      <c r="G110" s="1" t="s">
        <v>594</v>
      </c>
      <c r="H110" s="1">
        <v>1</v>
      </c>
      <c r="I110" s="1">
        <v>8760</v>
      </c>
      <c r="J110" s="1">
        <v>4</v>
      </c>
      <c r="K110" s="1"/>
      <c r="L110" s="1" t="s">
        <v>9</v>
      </c>
    </row>
    <row r="111" spans="1:12">
      <c r="A111" s="1">
        <v>108</v>
      </c>
      <c r="B111" s="2" t="s">
        <v>67</v>
      </c>
      <c r="C111" s="2" t="s">
        <v>99</v>
      </c>
      <c r="D111" s="2" t="s">
        <v>23</v>
      </c>
      <c r="E111" s="1" t="s">
        <v>97</v>
      </c>
      <c r="F111" s="4">
        <v>1</v>
      </c>
      <c r="G111" s="1" t="s">
        <v>594</v>
      </c>
      <c r="H111" s="1">
        <v>1</v>
      </c>
      <c r="I111" s="1">
        <v>8760</v>
      </c>
      <c r="J111" s="1">
        <v>4</v>
      </c>
      <c r="K111" s="1"/>
      <c r="L111" s="1" t="s">
        <v>9</v>
      </c>
    </row>
    <row r="112" spans="1:12">
      <c r="A112" s="1">
        <v>109</v>
      </c>
      <c r="B112" s="2" t="s">
        <v>68</v>
      </c>
      <c r="C112" s="1" t="s">
        <v>99</v>
      </c>
      <c r="D112" s="2" t="s">
        <v>23</v>
      </c>
      <c r="E112" s="1" t="s">
        <v>98</v>
      </c>
      <c r="F112" s="4">
        <v>1</v>
      </c>
      <c r="G112" s="1" t="s">
        <v>594</v>
      </c>
      <c r="H112" s="1">
        <v>1</v>
      </c>
      <c r="I112" s="1">
        <v>8760</v>
      </c>
      <c r="J112" s="1">
        <v>4</v>
      </c>
      <c r="K112" s="1"/>
      <c r="L112" s="1" t="s">
        <v>9</v>
      </c>
    </row>
    <row r="113" spans="1:12">
      <c r="A113" s="1">
        <v>110</v>
      </c>
      <c r="B113" s="1" t="s">
        <v>69</v>
      </c>
      <c r="C113" s="1" t="s">
        <v>99</v>
      </c>
      <c r="D113" s="1" t="s">
        <v>11</v>
      </c>
      <c r="E113" s="1" t="s">
        <v>97</v>
      </c>
      <c r="F113" s="4">
        <v>1</v>
      </c>
      <c r="G113" s="1" t="s">
        <v>594</v>
      </c>
      <c r="H113" s="1">
        <v>3</v>
      </c>
      <c r="I113" s="1">
        <v>8760</v>
      </c>
      <c r="J113" s="1">
        <v>4</v>
      </c>
      <c r="K113" s="1"/>
      <c r="L113" s="1" t="s">
        <v>9</v>
      </c>
    </row>
    <row r="114" spans="1:12">
      <c r="A114" s="1">
        <v>111</v>
      </c>
      <c r="B114" s="1" t="s">
        <v>68</v>
      </c>
      <c r="C114" s="1" t="s">
        <v>99</v>
      </c>
      <c r="D114" s="1" t="s">
        <v>11</v>
      </c>
      <c r="E114" s="1" t="s">
        <v>98</v>
      </c>
      <c r="F114" s="4">
        <v>1</v>
      </c>
      <c r="G114" s="1" t="s">
        <v>594</v>
      </c>
      <c r="H114" s="1">
        <v>7</v>
      </c>
      <c r="I114" s="1">
        <v>8760</v>
      </c>
      <c r="J114" s="1">
        <v>4</v>
      </c>
      <c r="K114" s="1"/>
      <c r="L114" s="1" t="s">
        <v>9</v>
      </c>
    </row>
    <row r="115" spans="1:12">
      <c r="A115" s="1">
        <v>112</v>
      </c>
      <c r="B115" s="1" t="s">
        <v>134</v>
      </c>
      <c r="C115" s="1" t="s">
        <v>99</v>
      </c>
      <c r="D115" s="1" t="s">
        <v>11</v>
      </c>
      <c r="E115" s="1" t="s">
        <v>97</v>
      </c>
      <c r="F115" s="4">
        <v>1</v>
      </c>
      <c r="G115" s="1" t="s">
        <v>594</v>
      </c>
      <c r="H115" s="1">
        <v>1</v>
      </c>
      <c r="I115" s="1">
        <v>8760</v>
      </c>
      <c r="J115" s="1">
        <v>4</v>
      </c>
      <c r="K115" s="1"/>
      <c r="L115" s="1" t="s">
        <v>9</v>
      </c>
    </row>
    <row r="116" spans="1:12">
      <c r="D116" s="7"/>
      <c r="E116" s="7"/>
      <c r="F116" s="8"/>
      <c r="G116" s="7"/>
      <c r="H116" s="7">
        <f>SUM(H105:H115)</f>
        <v>19</v>
      </c>
      <c r="I116" s="7"/>
      <c r="J116" s="7"/>
      <c r="K116" s="7"/>
      <c r="L116" s="7"/>
    </row>
    <row r="117" spans="1:12" ht="17.25" customHeight="1"/>
    <row r="118" spans="1:12">
      <c r="A118" t="s">
        <v>70</v>
      </c>
    </row>
    <row r="119" spans="1:12">
      <c r="A119" s="1">
        <v>113</v>
      </c>
      <c r="B119" s="1"/>
      <c r="C119" s="1" t="s">
        <v>99</v>
      </c>
      <c r="D119" s="1" t="s">
        <v>71</v>
      </c>
      <c r="E119" s="1" t="s">
        <v>72</v>
      </c>
      <c r="F119" s="4">
        <v>1</v>
      </c>
      <c r="G119" s="19" t="s">
        <v>585</v>
      </c>
      <c r="H119" s="1">
        <v>87</v>
      </c>
      <c r="I119" s="1">
        <v>0</v>
      </c>
      <c r="J119" s="1">
        <v>60</v>
      </c>
      <c r="K119" s="1"/>
      <c r="L119" s="1" t="s">
        <v>9</v>
      </c>
    </row>
    <row r="120" spans="1:12">
      <c r="A120" s="1">
        <v>123</v>
      </c>
      <c r="B120" s="19" t="s">
        <v>581</v>
      </c>
      <c r="C120" s="1" t="s">
        <v>99</v>
      </c>
      <c r="D120" s="19" t="s">
        <v>71</v>
      </c>
      <c r="E120" s="19" t="s">
        <v>218</v>
      </c>
      <c r="F120" s="33">
        <v>1</v>
      </c>
      <c r="G120" s="19" t="s">
        <v>585</v>
      </c>
      <c r="H120" s="19">
        <v>4</v>
      </c>
      <c r="I120" s="29">
        <v>0</v>
      </c>
      <c r="J120" s="12">
        <v>40</v>
      </c>
      <c r="K120" s="19"/>
      <c r="L120" s="1" t="s">
        <v>9</v>
      </c>
    </row>
    <row r="121" spans="1:12">
      <c r="A121" s="1">
        <v>123</v>
      </c>
      <c r="B121" s="19" t="s">
        <v>582</v>
      </c>
      <c r="C121" s="1" t="s">
        <v>99</v>
      </c>
      <c r="D121" s="19" t="s">
        <v>71</v>
      </c>
      <c r="E121" s="19" t="s">
        <v>218</v>
      </c>
      <c r="F121" s="33">
        <v>1</v>
      </c>
      <c r="G121" s="19" t="s">
        <v>585</v>
      </c>
      <c r="H121" s="19">
        <v>5</v>
      </c>
      <c r="I121" s="29">
        <v>0</v>
      </c>
      <c r="J121" s="12">
        <v>40</v>
      </c>
      <c r="K121" s="19"/>
      <c r="L121" s="1" t="s">
        <v>9</v>
      </c>
    </row>
    <row r="122" spans="1:12">
      <c r="B122" s="18"/>
      <c r="C122" s="18"/>
      <c r="D122" s="18"/>
      <c r="E122" s="18"/>
      <c r="F122" s="18"/>
      <c r="G122" s="18"/>
      <c r="H122" s="18">
        <f>SUM(H119:H121)</f>
        <v>96</v>
      </c>
      <c r="I122" s="31"/>
      <c r="J122" s="11"/>
      <c r="K122" s="18"/>
    </row>
  </sheetData>
  <phoneticPr fontId="2"/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1C3B-9E44-4319-A713-3EB2262A8FA3}">
  <sheetPr>
    <pageSetUpPr fitToPage="1"/>
  </sheetPr>
  <dimension ref="A1:L119"/>
  <sheetViews>
    <sheetView topLeftCell="A112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customWidth="1"/>
    <col min="4" max="4" width="23" bestFit="1" customWidth="1"/>
    <col min="5" max="5" width="21.375" bestFit="1" customWidth="1"/>
    <col min="6" max="6" width="4.8125" bestFit="1" customWidth="1"/>
    <col min="7" max="7" width="23.9375" customWidth="1"/>
    <col min="8" max="8" width="5.1875" bestFit="1" customWidth="1"/>
    <col min="9" max="9" width="12.9375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" t="s">
        <v>1</v>
      </c>
      <c r="D2" s="1" t="s">
        <v>13</v>
      </c>
      <c r="E2" s="1" t="s">
        <v>2</v>
      </c>
      <c r="F2" s="1" t="s">
        <v>3</v>
      </c>
      <c r="G2" s="1" t="s">
        <v>6</v>
      </c>
      <c r="H2" s="1" t="s">
        <v>4</v>
      </c>
      <c r="I2" s="1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37" t="s">
        <v>282</v>
      </c>
      <c r="C3" s="1" t="s">
        <v>133</v>
      </c>
      <c r="D3" s="1" t="s">
        <v>135</v>
      </c>
      <c r="E3" s="1" t="s">
        <v>21</v>
      </c>
      <c r="F3" s="4">
        <v>1</v>
      </c>
      <c r="G3" s="1" t="s">
        <v>91</v>
      </c>
      <c r="H3" s="1">
        <v>1</v>
      </c>
      <c r="I3" s="1"/>
      <c r="J3" s="1">
        <v>36</v>
      </c>
      <c r="K3" s="1"/>
      <c r="L3" s="1" t="s">
        <v>9</v>
      </c>
    </row>
    <row r="4" spans="1:12">
      <c r="A4" s="1">
        <v>2</v>
      </c>
      <c r="B4" s="37" t="s">
        <v>282</v>
      </c>
      <c r="C4" s="1" t="s">
        <v>133</v>
      </c>
      <c r="D4" s="1" t="s">
        <v>22</v>
      </c>
      <c r="E4" s="1" t="s">
        <v>21</v>
      </c>
      <c r="F4" s="4">
        <v>1</v>
      </c>
      <c r="G4" s="1" t="s">
        <v>91</v>
      </c>
      <c r="H4" s="1">
        <v>1</v>
      </c>
      <c r="I4" s="1"/>
      <c r="J4" s="1">
        <v>36</v>
      </c>
      <c r="K4" s="1"/>
      <c r="L4" s="1" t="s">
        <v>9</v>
      </c>
    </row>
    <row r="5" spans="1:12">
      <c r="A5" s="1">
        <v>3</v>
      </c>
      <c r="B5" s="37" t="s">
        <v>283</v>
      </c>
      <c r="C5" s="1" t="s">
        <v>133</v>
      </c>
      <c r="D5" s="1" t="s">
        <v>23</v>
      </c>
      <c r="E5" s="1" t="s">
        <v>21</v>
      </c>
      <c r="F5" s="4">
        <v>1</v>
      </c>
      <c r="G5" s="1" t="s">
        <v>511</v>
      </c>
      <c r="H5" s="1">
        <v>3</v>
      </c>
      <c r="I5" s="1"/>
      <c r="J5" s="1">
        <v>36</v>
      </c>
      <c r="K5" s="1"/>
      <c r="L5" s="1" t="s">
        <v>9</v>
      </c>
    </row>
    <row r="6" spans="1:12">
      <c r="A6" s="1">
        <v>4</v>
      </c>
      <c r="B6" s="37" t="s">
        <v>284</v>
      </c>
      <c r="C6" s="1" t="s">
        <v>133</v>
      </c>
      <c r="D6" s="1" t="s">
        <v>24</v>
      </c>
      <c r="E6" s="1" t="s">
        <v>19</v>
      </c>
      <c r="F6" s="4">
        <v>1</v>
      </c>
      <c r="G6" s="1" t="s">
        <v>506</v>
      </c>
      <c r="H6" s="1">
        <v>1</v>
      </c>
      <c r="I6" s="1"/>
      <c r="J6" s="1">
        <v>26</v>
      </c>
      <c r="K6" s="1"/>
      <c r="L6" s="1" t="s">
        <v>9</v>
      </c>
    </row>
    <row r="7" spans="1:12">
      <c r="A7" s="1">
        <v>5</v>
      </c>
      <c r="B7" s="37" t="s">
        <v>285</v>
      </c>
      <c r="C7" s="1" t="s">
        <v>133</v>
      </c>
      <c r="D7" s="1" t="s">
        <v>25</v>
      </c>
      <c r="E7" s="1" t="s">
        <v>21</v>
      </c>
      <c r="F7" s="4">
        <v>1</v>
      </c>
      <c r="G7" s="1" t="s">
        <v>554</v>
      </c>
      <c r="H7" s="1">
        <v>1</v>
      </c>
      <c r="I7" s="1"/>
      <c r="J7" s="1">
        <v>36</v>
      </c>
      <c r="K7" s="1"/>
      <c r="L7" s="1" t="s">
        <v>9</v>
      </c>
    </row>
    <row r="8" spans="1:12">
      <c r="A8" s="1">
        <v>6</v>
      </c>
      <c r="B8" s="37" t="s">
        <v>286</v>
      </c>
      <c r="C8" s="1" t="s">
        <v>133</v>
      </c>
      <c r="D8" s="1" t="s">
        <v>25</v>
      </c>
      <c r="E8" s="1" t="s">
        <v>21</v>
      </c>
      <c r="F8" s="4">
        <v>1</v>
      </c>
      <c r="G8" s="1" t="s">
        <v>554</v>
      </c>
      <c r="H8" s="1">
        <v>1</v>
      </c>
      <c r="I8" s="1"/>
      <c r="J8" s="1">
        <v>36</v>
      </c>
      <c r="K8" s="1"/>
      <c r="L8" s="1" t="s">
        <v>9</v>
      </c>
    </row>
    <row r="9" spans="1:12">
      <c r="A9" s="1">
        <v>7</v>
      </c>
      <c r="B9" s="37" t="s">
        <v>282</v>
      </c>
      <c r="C9" s="1" t="s">
        <v>133</v>
      </c>
      <c r="D9" s="1" t="s">
        <v>27</v>
      </c>
      <c r="E9" s="1" t="s">
        <v>21</v>
      </c>
      <c r="F9" s="4">
        <v>1</v>
      </c>
      <c r="G9" s="1" t="s">
        <v>91</v>
      </c>
      <c r="H9" s="1">
        <v>1</v>
      </c>
      <c r="I9" s="1"/>
      <c r="J9" s="1">
        <v>36</v>
      </c>
      <c r="K9" s="1"/>
      <c r="L9" s="1" t="s">
        <v>9</v>
      </c>
    </row>
    <row r="10" spans="1:12">
      <c r="A10" s="1">
        <v>8</v>
      </c>
      <c r="B10" s="37"/>
      <c r="C10" s="1" t="s">
        <v>133</v>
      </c>
      <c r="D10" s="1" t="s">
        <v>27</v>
      </c>
      <c r="E10" s="1" t="s">
        <v>31</v>
      </c>
      <c r="F10" s="4">
        <v>1</v>
      </c>
      <c r="G10" s="2" t="s">
        <v>316</v>
      </c>
      <c r="H10" s="1">
        <v>2</v>
      </c>
      <c r="I10" s="1"/>
      <c r="J10" s="1"/>
      <c r="K10" s="2" t="s">
        <v>32</v>
      </c>
      <c r="L10" s="1" t="s">
        <v>9</v>
      </c>
    </row>
    <row r="11" spans="1:12">
      <c r="A11" s="1">
        <v>9</v>
      </c>
      <c r="B11" s="37" t="s">
        <v>282</v>
      </c>
      <c r="C11" s="1" t="s">
        <v>133</v>
      </c>
      <c r="D11" s="1" t="s">
        <v>26</v>
      </c>
      <c r="E11" s="1" t="s">
        <v>21</v>
      </c>
      <c r="F11" s="5">
        <v>1</v>
      </c>
      <c r="G11" s="1" t="s">
        <v>91</v>
      </c>
      <c r="H11" s="2">
        <v>1</v>
      </c>
      <c r="I11" s="2"/>
      <c r="J11" s="2">
        <v>36</v>
      </c>
      <c r="K11" s="2"/>
      <c r="L11" s="1" t="s">
        <v>9</v>
      </c>
    </row>
    <row r="12" spans="1:12">
      <c r="A12" s="1">
        <v>10</v>
      </c>
      <c r="B12" s="37"/>
      <c r="C12" s="1" t="s">
        <v>133</v>
      </c>
      <c r="D12" s="1" t="s">
        <v>26</v>
      </c>
      <c r="E12" s="1" t="s">
        <v>31</v>
      </c>
      <c r="F12" s="5">
        <v>1</v>
      </c>
      <c r="G12" s="2" t="s">
        <v>316</v>
      </c>
      <c r="H12" s="2">
        <v>3</v>
      </c>
      <c r="I12" s="2"/>
      <c r="J12" s="2"/>
      <c r="K12" s="2" t="s">
        <v>32</v>
      </c>
      <c r="L12" s="1" t="s">
        <v>9</v>
      </c>
    </row>
    <row r="13" spans="1:12">
      <c r="A13" s="1">
        <v>11</v>
      </c>
      <c r="B13" s="37" t="s">
        <v>372</v>
      </c>
      <c r="C13" s="1" t="s">
        <v>133</v>
      </c>
      <c r="D13" s="2" t="s">
        <v>136</v>
      </c>
      <c r="E13" s="2" t="s">
        <v>21</v>
      </c>
      <c r="F13" s="5">
        <v>6</v>
      </c>
      <c r="G13" s="2" t="s">
        <v>379</v>
      </c>
      <c r="H13" s="2">
        <v>2</v>
      </c>
      <c r="I13" s="2"/>
      <c r="J13" s="2">
        <v>216</v>
      </c>
      <c r="K13" s="2"/>
      <c r="L13" s="1" t="s">
        <v>9</v>
      </c>
    </row>
    <row r="14" spans="1:12">
      <c r="A14" s="1">
        <v>12</v>
      </c>
      <c r="B14" s="37" t="s">
        <v>290</v>
      </c>
      <c r="C14" s="1" t="s">
        <v>133</v>
      </c>
      <c r="D14" s="2" t="s">
        <v>136</v>
      </c>
      <c r="E14" s="2" t="s">
        <v>21</v>
      </c>
      <c r="F14" s="5">
        <v>1</v>
      </c>
      <c r="G14" s="2" t="s">
        <v>89</v>
      </c>
      <c r="H14" s="2">
        <v>2</v>
      </c>
      <c r="I14" s="2"/>
      <c r="J14" s="2">
        <v>36</v>
      </c>
      <c r="K14" s="2"/>
      <c r="L14" s="1" t="s">
        <v>9</v>
      </c>
    </row>
    <row r="15" spans="1:12">
      <c r="A15" s="1">
        <v>13</v>
      </c>
      <c r="B15" s="37" t="s">
        <v>526</v>
      </c>
      <c r="C15" s="1" t="s">
        <v>133</v>
      </c>
      <c r="D15" s="2" t="s">
        <v>136</v>
      </c>
      <c r="E15" s="2" t="s">
        <v>19</v>
      </c>
      <c r="F15" s="5">
        <v>1</v>
      </c>
      <c r="G15" s="2" t="s">
        <v>528</v>
      </c>
      <c r="H15" s="2">
        <v>1</v>
      </c>
      <c r="I15" s="2"/>
      <c r="J15" s="2">
        <v>26</v>
      </c>
      <c r="K15" s="2"/>
      <c r="L15" s="1" t="s">
        <v>9</v>
      </c>
    </row>
    <row r="16" spans="1:12">
      <c r="A16" s="1">
        <v>14</v>
      </c>
      <c r="B16" s="37"/>
      <c r="C16" s="1" t="s">
        <v>133</v>
      </c>
      <c r="D16" s="2" t="s">
        <v>136</v>
      </c>
      <c r="E16" s="2" t="s">
        <v>72</v>
      </c>
      <c r="F16" s="5">
        <v>1</v>
      </c>
      <c r="G16" s="2" t="s">
        <v>73</v>
      </c>
      <c r="H16" s="2">
        <v>4</v>
      </c>
      <c r="I16" s="2"/>
      <c r="J16" s="2">
        <v>60</v>
      </c>
      <c r="K16" s="2"/>
      <c r="L16" s="1" t="s">
        <v>9</v>
      </c>
    </row>
    <row r="17" spans="1:12">
      <c r="A17" s="1">
        <v>15</v>
      </c>
      <c r="B17" s="37" t="s">
        <v>527</v>
      </c>
      <c r="C17" s="1" t="s">
        <v>133</v>
      </c>
      <c r="D17" s="2" t="s">
        <v>137</v>
      </c>
      <c r="E17" s="2" t="s">
        <v>21</v>
      </c>
      <c r="F17" s="5">
        <v>30</v>
      </c>
      <c r="G17" s="2" t="s">
        <v>529</v>
      </c>
      <c r="H17" s="2">
        <v>1</v>
      </c>
      <c r="I17" s="2"/>
      <c r="J17" s="2">
        <v>1080</v>
      </c>
      <c r="K17" s="2"/>
      <c r="L17" s="1" t="s">
        <v>9</v>
      </c>
    </row>
    <row r="18" spans="1:12">
      <c r="A18" s="1">
        <v>16</v>
      </c>
      <c r="B18" s="37" t="s">
        <v>290</v>
      </c>
      <c r="C18" s="1" t="s">
        <v>133</v>
      </c>
      <c r="D18" s="2" t="s">
        <v>137</v>
      </c>
      <c r="E18" s="2" t="s">
        <v>21</v>
      </c>
      <c r="F18" s="5">
        <v>1</v>
      </c>
      <c r="G18" s="2" t="s">
        <v>89</v>
      </c>
      <c r="H18" s="2">
        <v>4</v>
      </c>
      <c r="I18" s="2"/>
      <c r="J18" s="2">
        <v>36</v>
      </c>
      <c r="K18" s="2"/>
      <c r="L18" s="1" t="s">
        <v>9</v>
      </c>
    </row>
    <row r="19" spans="1:12">
      <c r="A19" s="1">
        <v>17</v>
      </c>
      <c r="B19" s="37"/>
      <c r="C19" s="1" t="s">
        <v>133</v>
      </c>
      <c r="D19" s="2" t="s">
        <v>137</v>
      </c>
      <c r="E19" s="2" t="s">
        <v>72</v>
      </c>
      <c r="F19" s="5">
        <v>1</v>
      </c>
      <c r="G19" s="2" t="s">
        <v>73</v>
      </c>
      <c r="H19" s="2">
        <v>18</v>
      </c>
      <c r="I19" s="2"/>
      <c r="J19" s="2">
        <v>60</v>
      </c>
      <c r="K19" s="2"/>
      <c r="L19" s="1" t="s">
        <v>9</v>
      </c>
    </row>
    <row r="20" spans="1:12">
      <c r="A20" s="1">
        <v>18</v>
      </c>
      <c r="B20" s="37"/>
      <c r="C20" s="1" t="s">
        <v>133</v>
      </c>
      <c r="D20" s="2" t="s">
        <v>137</v>
      </c>
      <c r="E20" s="2" t="s">
        <v>125</v>
      </c>
      <c r="F20" s="5">
        <v>1</v>
      </c>
      <c r="G20" s="2" t="s">
        <v>530</v>
      </c>
      <c r="H20" s="2">
        <v>4</v>
      </c>
      <c r="I20" s="2"/>
      <c r="J20" s="2">
        <v>100</v>
      </c>
      <c r="K20" s="2"/>
      <c r="L20" s="1" t="s">
        <v>9</v>
      </c>
    </row>
    <row r="21" spans="1:12">
      <c r="A21" s="1">
        <v>19</v>
      </c>
      <c r="B21" s="37" t="s">
        <v>372</v>
      </c>
      <c r="C21" s="1" t="s">
        <v>133</v>
      </c>
      <c r="D21" s="2" t="s">
        <v>138</v>
      </c>
      <c r="E21" s="2" t="s">
        <v>21</v>
      </c>
      <c r="F21" s="5">
        <v>6</v>
      </c>
      <c r="G21" s="2" t="s">
        <v>379</v>
      </c>
      <c r="H21" s="2">
        <v>3</v>
      </c>
      <c r="I21" s="2"/>
      <c r="J21" s="2">
        <v>216</v>
      </c>
      <c r="K21" s="2"/>
      <c r="L21" s="1" t="s">
        <v>9</v>
      </c>
    </row>
    <row r="22" spans="1:12">
      <c r="A22" s="1">
        <v>20</v>
      </c>
      <c r="B22" s="37" t="s">
        <v>290</v>
      </c>
      <c r="C22" s="1" t="s">
        <v>133</v>
      </c>
      <c r="D22" s="2" t="s">
        <v>138</v>
      </c>
      <c r="E22" s="2" t="s">
        <v>21</v>
      </c>
      <c r="F22" s="5">
        <v>1</v>
      </c>
      <c r="G22" s="2" t="s">
        <v>89</v>
      </c>
      <c r="H22" s="2">
        <v>2</v>
      </c>
      <c r="I22" s="2"/>
      <c r="J22" s="2">
        <v>36</v>
      </c>
      <c r="K22" s="2"/>
      <c r="L22" s="1" t="s">
        <v>9</v>
      </c>
    </row>
    <row r="23" spans="1:12" s="10" customFormat="1">
      <c r="A23" s="2">
        <v>21</v>
      </c>
      <c r="B23" s="48"/>
      <c r="C23" s="2" t="s">
        <v>133</v>
      </c>
      <c r="D23" s="2" t="s">
        <v>138</v>
      </c>
      <c r="E23" s="2" t="s">
        <v>72</v>
      </c>
      <c r="F23" s="5">
        <v>1</v>
      </c>
      <c r="G23" s="2" t="s">
        <v>73</v>
      </c>
      <c r="H23" s="2">
        <v>14</v>
      </c>
      <c r="I23" s="2"/>
      <c r="J23" s="2">
        <v>60</v>
      </c>
      <c r="K23" s="2"/>
      <c r="L23" s="2" t="s">
        <v>9</v>
      </c>
    </row>
    <row r="24" spans="1:12" s="10" customFormat="1">
      <c r="A24" s="2">
        <v>22</v>
      </c>
      <c r="B24" s="48"/>
      <c r="C24" s="2" t="s">
        <v>133</v>
      </c>
      <c r="D24" s="2" t="s">
        <v>138</v>
      </c>
      <c r="E24" s="2" t="s">
        <v>125</v>
      </c>
      <c r="F24" s="5">
        <v>1</v>
      </c>
      <c r="G24" s="2" t="s">
        <v>530</v>
      </c>
      <c r="H24" s="2">
        <v>3</v>
      </c>
      <c r="I24" s="2"/>
      <c r="J24" s="2">
        <v>100</v>
      </c>
      <c r="K24" s="2"/>
      <c r="L24" s="2" t="s">
        <v>9</v>
      </c>
    </row>
    <row r="25" spans="1:12">
      <c r="A25" s="1">
        <v>23</v>
      </c>
      <c r="B25" s="37" t="s">
        <v>372</v>
      </c>
      <c r="C25" s="1" t="s">
        <v>133</v>
      </c>
      <c r="D25" s="2" t="s">
        <v>139</v>
      </c>
      <c r="E25" s="2" t="s">
        <v>21</v>
      </c>
      <c r="F25" s="5">
        <v>6</v>
      </c>
      <c r="G25" s="2" t="s">
        <v>379</v>
      </c>
      <c r="H25" s="2">
        <v>1</v>
      </c>
      <c r="I25" s="2"/>
      <c r="J25" s="2">
        <v>216</v>
      </c>
      <c r="K25" s="2"/>
      <c r="L25" s="1" t="s">
        <v>9</v>
      </c>
    </row>
    <row r="26" spans="1:12">
      <c r="A26" s="1">
        <v>24</v>
      </c>
      <c r="B26" s="37" t="s">
        <v>290</v>
      </c>
      <c r="C26" s="1" t="s">
        <v>133</v>
      </c>
      <c r="D26" s="2" t="s">
        <v>139</v>
      </c>
      <c r="E26" s="2" t="s">
        <v>21</v>
      </c>
      <c r="F26" s="5">
        <v>1</v>
      </c>
      <c r="G26" s="2" t="s">
        <v>89</v>
      </c>
      <c r="H26" s="2">
        <v>1</v>
      </c>
      <c r="I26" s="2"/>
      <c r="J26" s="2">
        <v>36</v>
      </c>
      <c r="K26" s="2"/>
      <c r="L26" s="1" t="s">
        <v>9</v>
      </c>
    </row>
    <row r="27" spans="1:12">
      <c r="A27" s="1">
        <v>25</v>
      </c>
      <c r="B27" s="37"/>
      <c r="C27" s="1" t="s">
        <v>133</v>
      </c>
      <c r="D27" s="2" t="s">
        <v>139</v>
      </c>
      <c r="E27" s="2" t="s">
        <v>72</v>
      </c>
      <c r="F27" s="5">
        <v>1</v>
      </c>
      <c r="G27" s="2" t="s">
        <v>73</v>
      </c>
      <c r="H27" s="2">
        <v>11</v>
      </c>
      <c r="I27" s="2"/>
      <c r="J27" s="2">
        <v>60</v>
      </c>
      <c r="K27" s="2"/>
      <c r="L27" s="1" t="s">
        <v>9</v>
      </c>
    </row>
    <row r="28" spans="1:12">
      <c r="A28" s="1">
        <v>26</v>
      </c>
      <c r="B28" s="37" t="s">
        <v>289</v>
      </c>
      <c r="C28" s="1" t="s">
        <v>133</v>
      </c>
      <c r="D28" s="2" t="s">
        <v>11</v>
      </c>
      <c r="E28" s="2" t="s">
        <v>21</v>
      </c>
      <c r="F28" s="5">
        <v>1</v>
      </c>
      <c r="G28" s="2" t="s">
        <v>89</v>
      </c>
      <c r="H28" s="2">
        <v>46</v>
      </c>
      <c r="I28" s="2"/>
      <c r="J28" s="2">
        <v>36</v>
      </c>
      <c r="K28" s="2"/>
      <c r="L28" s="1" t="s">
        <v>9</v>
      </c>
    </row>
    <row r="29" spans="1:12">
      <c r="A29" s="1">
        <v>27</v>
      </c>
      <c r="B29" s="37" t="s">
        <v>290</v>
      </c>
      <c r="C29" s="1" t="s">
        <v>133</v>
      </c>
      <c r="D29" s="2" t="s">
        <v>11</v>
      </c>
      <c r="E29" s="2" t="s">
        <v>21</v>
      </c>
      <c r="F29" s="5">
        <v>1</v>
      </c>
      <c r="G29" s="2" t="s">
        <v>89</v>
      </c>
      <c r="H29" s="2">
        <v>2</v>
      </c>
      <c r="I29" s="2"/>
      <c r="J29" s="2">
        <v>36</v>
      </c>
      <c r="K29" s="2"/>
      <c r="L29" s="1" t="s">
        <v>9</v>
      </c>
    </row>
    <row r="30" spans="1:12">
      <c r="A30" s="1">
        <v>28</v>
      </c>
      <c r="B30" s="37"/>
      <c r="C30" s="1" t="s">
        <v>133</v>
      </c>
      <c r="D30" s="2" t="s">
        <v>573</v>
      </c>
      <c r="E30" s="2" t="s">
        <v>72</v>
      </c>
      <c r="F30" s="5">
        <v>1</v>
      </c>
      <c r="G30" s="2" t="s">
        <v>73</v>
      </c>
      <c r="H30" s="2">
        <v>9</v>
      </c>
      <c r="I30" s="2"/>
      <c r="J30" s="2">
        <v>60</v>
      </c>
      <c r="K30" s="2"/>
      <c r="L30" s="1" t="s">
        <v>9</v>
      </c>
    </row>
    <row r="31" spans="1:12">
      <c r="A31" s="1">
        <v>29</v>
      </c>
      <c r="B31" s="37"/>
      <c r="C31" s="1" t="s">
        <v>133</v>
      </c>
      <c r="D31" s="2" t="s">
        <v>574</v>
      </c>
      <c r="E31" s="2" t="s">
        <v>72</v>
      </c>
      <c r="F31" s="5">
        <v>1</v>
      </c>
      <c r="G31" s="2" t="s">
        <v>73</v>
      </c>
      <c r="H31" s="2">
        <v>30</v>
      </c>
      <c r="I31" s="2"/>
      <c r="J31" s="2">
        <v>60</v>
      </c>
      <c r="K31" s="2"/>
      <c r="L31" s="1" t="s">
        <v>9</v>
      </c>
    </row>
    <row r="32" spans="1:12">
      <c r="A32" s="1">
        <v>30</v>
      </c>
      <c r="B32" s="37"/>
      <c r="C32" s="1" t="s">
        <v>133</v>
      </c>
      <c r="D32" s="2" t="s">
        <v>11</v>
      </c>
      <c r="E32" s="1" t="s">
        <v>75</v>
      </c>
      <c r="F32" s="5">
        <v>1</v>
      </c>
      <c r="G32" s="2" t="s">
        <v>76</v>
      </c>
      <c r="H32" s="2">
        <v>5</v>
      </c>
      <c r="I32" s="2"/>
      <c r="J32" s="2"/>
      <c r="K32" s="2"/>
      <c r="L32" s="1" t="s">
        <v>9</v>
      </c>
    </row>
    <row r="33" spans="1:12">
      <c r="A33" s="1">
        <v>31</v>
      </c>
      <c r="B33" s="37"/>
      <c r="C33" s="1" t="s">
        <v>133</v>
      </c>
      <c r="D33" s="2" t="s">
        <v>148</v>
      </c>
      <c r="E33" s="2" t="s">
        <v>72</v>
      </c>
      <c r="F33" s="5">
        <v>1</v>
      </c>
      <c r="G33" s="2" t="s">
        <v>73</v>
      </c>
      <c r="H33" s="2">
        <v>22</v>
      </c>
      <c r="I33" s="2"/>
      <c r="J33" s="2">
        <v>60</v>
      </c>
      <c r="K33" s="2"/>
      <c r="L33" s="1" t="s">
        <v>9</v>
      </c>
    </row>
    <row r="34" spans="1:12">
      <c r="A34" s="1">
        <v>32</v>
      </c>
      <c r="B34" s="37"/>
      <c r="C34" s="1" t="s">
        <v>133</v>
      </c>
      <c r="D34" s="2" t="s">
        <v>148</v>
      </c>
      <c r="E34" s="2" t="s">
        <v>125</v>
      </c>
      <c r="F34" s="5">
        <v>1</v>
      </c>
      <c r="G34" s="2" t="s">
        <v>530</v>
      </c>
      <c r="H34" s="2">
        <v>3</v>
      </c>
      <c r="I34" s="2"/>
      <c r="J34" s="2">
        <v>100</v>
      </c>
      <c r="K34" s="2"/>
      <c r="L34" s="1" t="s">
        <v>9</v>
      </c>
    </row>
    <row r="35" spans="1:12">
      <c r="A35" s="1">
        <v>33</v>
      </c>
      <c r="B35" s="37" t="s">
        <v>372</v>
      </c>
      <c r="C35" s="1" t="s">
        <v>133</v>
      </c>
      <c r="D35" s="2" t="s">
        <v>140</v>
      </c>
      <c r="E35" s="1" t="s">
        <v>21</v>
      </c>
      <c r="F35" s="5">
        <v>6</v>
      </c>
      <c r="G35" s="1" t="s">
        <v>379</v>
      </c>
      <c r="H35" s="2">
        <v>2</v>
      </c>
      <c r="I35" s="2"/>
      <c r="J35" s="2">
        <v>216</v>
      </c>
      <c r="K35" s="2"/>
      <c r="L35" s="1" t="s">
        <v>9</v>
      </c>
    </row>
    <row r="36" spans="1:12">
      <c r="A36" s="1">
        <v>34</v>
      </c>
      <c r="B36" s="37" t="s">
        <v>290</v>
      </c>
      <c r="C36" s="1" t="s">
        <v>133</v>
      </c>
      <c r="D36" s="2" t="s">
        <v>140</v>
      </c>
      <c r="E36" s="1" t="s">
        <v>21</v>
      </c>
      <c r="F36" s="5">
        <v>1</v>
      </c>
      <c r="G36" s="1" t="s">
        <v>89</v>
      </c>
      <c r="H36" s="2">
        <v>2</v>
      </c>
      <c r="I36" s="2"/>
      <c r="J36" s="2">
        <v>36</v>
      </c>
      <c r="K36" s="2"/>
      <c r="L36" s="1" t="s">
        <v>9</v>
      </c>
    </row>
    <row r="37" spans="1:12">
      <c r="A37" s="1">
        <v>35</v>
      </c>
      <c r="B37" s="37" t="s">
        <v>526</v>
      </c>
      <c r="C37" s="1" t="s">
        <v>133</v>
      </c>
      <c r="D37" s="2" t="s">
        <v>140</v>
      </c>
      <c r="E37" s="1" t="s">
        <v>19</v>
      </c>
      <c r="F37" s="5">
        <v>1</v>
      </c>
      <c r="G37" s="2" t="s">
        <v>531</v>
      </c>
      <c r="H37" s="2">
        <v>1</v>
      </c>
      <c r="I37" s="2"/>
      <c r="J37" s="2">
        <v>26</v>
      </c>
      <c r="K37" s="2"/>
      <c r="L37" s="1" t="s">
        <v>9</v>
      </c>
    </row>
    <row r="38" spans="1:12">
      <c r="A38" s="1">
        <v>36</v>
      </c>
      <c r="B38" s="37"/>
      <c r="C38" s="1" t="s">
        <v>133</v>
      </c>
      <c r="D38" s="2" t="s">
        <v>140</v>
      </c>
      <c r="E38" s="2" t="s">
        <v>72</v>
      </c>
      <c r="F38" s="5">
        <v>1</v>
      </c>
      <c r="G38" s="2" t="s">
        <v>73</v>
      </c>
      <c r="H38" s="2">
        <v>4</v>
      </c>
      <c r="I38" s="2"/>
      <c r="J38" s="2">
        <v>60</v>
      </c>
      <c r="K38" s="2"/>
      <c r="L38" s="1" t="s">
        <v>9</v>
      </c>
    </row>
    <row r="39" spans="1:12">
      <c r="A39" s="1">
        <v>37</v>
      </c>
      <c r="B39" s="37" t="s">
        <v>372</v>
      </c>
      <c r="C39" s="1" t="s">
        <v>133</v>
      </c>
      <c r="D39" s="2" t="s">
        <v>141</v>
      </c>
      <c r="E39" s="1" t="s">
        <v>21</v>
      </c>
      <c r="F39" s="5">
        <v>6</v>
      </c>
      <c r="G39" s="2" t="s">
        <v>379</v>
      </c>
      <c r="H39" s="2">
        <v>1</v>
      </c>
      <c r="I39" s="2"/>
      <c r="J39" s="2">
        <v>216</v>
      </c>
      <c r="K39" s="2"/>
      <c r="L39" s="1" t="s">
        <v>9</v>
      </c>
    </row>
    <row r="40" spans="1:12">
      <c r="A40" s="1">
        <v>38</v>
      </c>
      <c r="B40" s="37" t="s">
        <v>290</v>
      </c>
      <c r="C40" s="1" t="s">
        <v>133</v>
      </c>
      <c r="D40" s="2" t="s">
        <v>141</v>
      </c>
      <c r="E40" s="2" t="s">
        <v>21</v>
      </c>
      <c r="F40" s="5">
        <v>1</v>
      </c>
      <c r="G40" s="2" t="s">
        <v>89</v>
      </c>
      <c r="H40" s="2">
        <v>1</v>
      </c>
      <c r="I40" s="2"/>
      <c r="J40" s="2">
        <v>36</v>
      </c>
      <c r="K40" s="2"/>
      <c r="L40" s="1" t="s">
        <v>9</v>
      </c>
    </row>
    <row r="41" spans="1:12">
      <c r="A41" s="1">
        <v>39</v>
      </c>
      <c r="B41" s="37"/>
      <c r="C41" s="1" t="s">
        <v>133</v>
      </c>
      <c r="D41" s="2" t="s">
        <v>141</v>
      </c>
      <c r="E41" s="2" t="s">
        <v>72</v>
      </c>
      <c r="F41" s="5">
        <v>1</v>
      </c>
      <c r="G41" s="2" t="s">
        <v>73</v>
      </c>
      <c r="H41" s="2">
        <v>11</v>
      </c>
      <c r="I41" s="2"/>
      <c r="J41" s="2">
        <v>60</v>
      </c>
      <c r="K41" s="2"/>
      <c r="L41" s="1" t="s">
        <v>9</v>
      </c>
    </row>
    <row r="42" spans="1:12">
      <c r="A42" s="1">
        <v>40</v>
      </c>
      <c r="B42" s="37" t="s">
        <v>289</v>
      </c>
      <c r="C42" s="1" t="s">
        <v>133</v>
      </c>
      <c r="D42" s="2" t="s">
        <v>35</v>
      </c>
      <c r="E42" s="1" t="s">
        <v>21</v>
      </c>
      <c r="F42" s="5">
        <v>1</v>
      </c>
      <c r="G42" s="2" t="s">
        <v>89</v>
      </c>
      <c r="H42" s="2">
        <v>4</v>
      </c>
      <c r="I42" s="2"/>
      <c r="J42" s="2">
        <v>36</v>
      </c>
      <c r="K42" s="2"/>
      <c r="L42" s="1" t="s">
        <v>9</v>
      </c>
    </row>
    <row r="43" spans="1:12" s="10" customFormat="1">
      <c r="A43" s="1">
        <v>41</v>
      </c>
      <c r="B43" s="37"/>
      <c r="C43" s="2" t="s">
        <v>133</v>
      </c>
      <c r="D43" s="2" t="s">
        <v>35</v>
      </c>
      <c r="E43" s="2" t="s">
        <v>72</v>
      </c>
      <c r="F43" s="5">
        <v>1</v>
      </c>
      <c r="G43" s="2" t="s">
        <v>73</v>
      </c>
      <c r="H43" s="2">
        <v>4</v>
      </c>
      <c r="I43" s="2"/>
      <c r="J43" s="2">
        <v>60</v>
      </c>
      <c r="K43" s="2"/>
      <c r="L43" s="1" t="s">
        <v>9</v>
      </c>
    </row>
    <row r="44" spans="1:12">
      <c r="A44" s="1">
        <v>42</v>
      </c>
      <c r="B44" s="37" t="s">
        <v>287</v>
      </c>
      <c r="C44" s="1" t="s">
        <v>133</v>
      </c>
      <c r="D44" s="2" t="s">
        <v>142</v>
      </c>
      <c r="E44" s="1" t="s">
        <v>21</v>
      </c>
      <c r="F44" s="5">
        <v>2</v>
      </c>
      <c r="G44" s="2" t="s">
        <v>56</v>
      </c>
      <c r="H44" s="2">
        <v>4</v>
      </c>
      <c r="I44" s="2"/>
      <c r="J44" s="2">
        <v>72</v>
      </c>
      <c r="K44" s="2"/>
      <c r="L44" s="1" t="s">
        <v>9</v>
      </c>
    </row>
    <row r="45" spans="1:12" s="10" customFormat="1">
      <c r="A45" s="2">
        <v>43</v>
      </c>
      <c r="B45" s="48" t="s">
        <v>507</v>
      </c>
      <c r="C45" s="2" t="s">
        <v>133</v>
      </c>
      <c r="D45" s="2" t="s">
        <v>143</v>
      </c>
      <c r="E45" s="2" t="s">
        <v>21</v>
      </c>
      <c r="F45" s="5">
        <v>6</v>
      </c>
      <c r="G45" s="2" t="s">
        <v>379</v>
      </c>
      <c r="H45" s="2">
        <v>1</v>
      </c>
      <c r="I45" s="2"/>
      <c r="J45" s="2">
        <v>216</v>
      </c>
      <c r="K45" s="2"/>
      <c r="L45" s="2" t="s">
        <v>9</v>
      </c>
    </row>
    <row r="46" spans="1:12">
      <c r="A46" s="1">
        <v>44</v>
      </c>
      <c r="B46" s="37" t="s">
        <v>28</v>
      </c>
      <c r="C46" s="1" t="s">
        <v>133</v>
      </c>
      <c r="D46" s="2" t="s">
        <v>57</v>
      </c>
      <c r="E46" s="1" t="s">
        <v>21</v>
      </c>
      <c r="F46" s="5">
        <v>1</v>
      </c>
      <c r="G46" s="2" t="s">
        <v>511</v>
      </c>
      <c r="H46" s="2">
        <v>2</v>
      </c>
      <c r="I46" s="2"/>
      <c r="J46" s="2">
        <v>36</v>
      </c>
      <c r="K46" s="2"/>
      <c r="L46" s="1" t="s">
        <v>9</v>
      </c>
    </row>
    <row r="47" spans="1:12">
      <c r="A47" s="1">
        <v>45</v>
      </c>
      <c r="B47" s="37"/>
      <c r="C47" s="1" t="s">
        <v>133</v>
      </c>
      <c r="D47" s="2" t="s">
        <v>57</v>
      </c>
      <c r="E47" s="1" t="s">
        <v>72</v>
      </c>
      <c r="F47" s="5">
        <v>1</v>
      </c>
      <c r="G47" s="2" t="s">
        <v>73</v>
      </c>
      <c r="H47" s="2">
        <v>1</v>
      </c>
      <c r="I47" s="2"/>
      <c r="J47" s="2">
        <v>60</v>
      </c>
      <c r="K47" s="2"/>
      <c r="L47" s="1" t="s">
        <v>9</v>
      </c>
    </row>
    <row r="48" spans="1:12">
      <c r="A48" s="1">
        <v>46</v>
      </c>
      <c r="B48" s="37" t="s">
        <v>79</v>
      </c>
      <c r="C48" s="1" t="s">
        <v>133</v>
      </c>
      <c r="D48" s="2" t="s">
        <v>36</v>
      </c>
      <c r="E48" s="2" t="s">
        <v>21</v>
      </c>
      <c r="F48" s="5">
        <v>1</v>
      </c>
      <c r="G48" s="2" t="s">
        <v>554</v>
      </c>
      <c r="H48" s="2">
        <v>1</v>
      </c>
      <c r="I48" s="2"/>
      <c r="J48" s="2">
        <v>36</v>
      </c>
      <c r="K48" s="2"/>
      <c r="L48" s="1" t="s">
        <v>9</v>
      </c>
    </row>
    <row r="49" spans="1:12">
      <c r="A49" s="1">
        <v>47</v>
      </c>
      <c r="B49" s="37" t="s">
        <v>80</v>
      </c>
      <c r="C49" s="1" t="s">
        <v>133</v>
      </c>
      <c r="D49" s="2" t="s">
        <v>36</v>
      </c>
      <c r="E49" s="2" t="s">
        <v>21</v>
      </c>
      <c r="F49" s="5">
        <v>1</v>
      </c>
      <c r="G49" s="2" t="s">
        <v>554</v>
      </c>
      <c r="H49" s="2">
        <v>1</v>
      </c>
      <c r="I49" s="2"/>
      <c r="J49" s="2">
        <v>36</v>
      </c>
      <c r="K49" s="2"/>
      <c r="L49" s="1" t="s">
        <v>9</v>
      </c>
    </row>
    <row r="50" spans="1:12">
      <c r="A50" s="1">
        <v>48</v>
      </c>
      <c r="B50" s="37" t="s">
        <v>20</v>
      </c>
      <c r="C50" s="1" t="s">
        <v>133</v>
      </c>
      <c r="D50" s="2" t="s">
        <v>37</v>
      </c>
      <c r="E50" s="2" t="s">
        <v>21</v>
      </c>
      <c r="F50" s="5">
        <v>1</v>
      </c>
      <c r="G50" s="2" t="s">
        <v>91</v>
      </c>
      <c r="H50" s="2">
        <v>2</v>
      </c>
      <c r="I50" s="2"/>
      <c r="J50" s="2">
        <v>36</v>
      </c>
      <c r="K50" s="2"/>
      <c r="L50" s="1" t="s">
        <v>9</v>
      </c>
    </row>
    <row r="51" spans="1:12">
      <c r="A51" s="1">
        <v>49</v>
      </c>
      <c r="B51" s="37" t="s">
        <v>85</v>
      </c>
      <c r="C51" s="1" t="s">
        <v>133</v>
      </c>
      <c r="D51" s="1" t="s">
        <v>38</v>
      </c>
      <c r="E51" s="2" t="s">
        <v>21</v>
      </c>
      <c r="F51" s="4">
        <v>1</v>
      </c>
      <c r="G51" s="1" t="s">
        <v>524</v>
      </c>
      <c r="H51" s="1">
        <v>1</v>
      </c>
      <c r="I51" s="1"/>
      <c r="J51" s="1">
        <v>36</v>
      </c>
      <c r="K51" s="1"/>
      <c r="L51" s="1" t="s">
        <v>9</v>
      </c>
    </row>
    <row r="52" spans="1:12">
      <c r="A52" s="1">
        <v>50</v>
      </c>
      <c r="B52" s="37" t="s">
        <v>86</v>
      </c>
      <c r="C52" s="1" t="s">
        <v>133</v>
      </c>
      <c r="D52" s="1" t="s">
        <v>39</v>
      </c>
      <c r="E52" s="1" t="s">
        <v>19</v>
      </c>
      <c r="F52" s="4">
        <v>1</v>
      </c>
      <c r="G52" s="2" t="s">
        <v>93</v>
      </c>
      <c r="H52" s="1">
        <v>1</v>
      </c>
      <c r="I52" s="1"/>
      <c r="J52" s="1">
        <v>26</v>
      </c>
      <c r="K52" s="2"/>
      <c r="L52" s="1" t="s">
        <v>9</v>
      </c>
    </row>
    <row r="53" spans="1:12">
      <c r="A53" s="1">
        <v>51</v>
      </c>
      <c r="B53" s="37" t="s">
        <v>81</v>
      </c>
      <c r="C53" s="1" t="s">
        <v>133</v>
      </c>
      <c r="D53" s="1" t="s">
        <v>144</v>
      </c>
      <c r="E53" s="2" t="s">
        <v>21</v>
      </c>
      <c r="F53" s="4">
        <v>2</v>
      </c>
      <c r="G53" s="1" t="s">
        <v>56</v>
      </c>
      <c r="H53" s="1">
        <v>28</v>
      </c>
      <c r="I53" s="1"/>
      <c r="J53" s="1">
        <v>72</v>
      </c>
      <c r="K53" s="1"/>
      <c r="L53" s="1" t="s">
        <v>9</v>
      </c>
    </row>
    <row r="54" spans="1:12">
      <c r="A54" s="1">
        <v>52</v>
      </c>
      <c r="B54" s="37" t="s">
        <v>81</v>
      </c>
      <c r="C54" s="1" t="s">
        <v>133</v>
      </c>
      <c r="D54" s="1" t="s">
        <v>144</v>
      </c>
      <c r="E54" s="2" t="s">
        <v>21</v>
      </c>
      <c r="F54" s="5">
        <v>2</v>
      </c>
      <c r="G54" s="1" t="s">
        <v>56</v>
      </c>
      <c r="H54" s="2">
        <v>2</v>
      </c>
      <c r="I54" s="2"/>
      <c r="J54" s="2">
        <v>72</v>
      </c>
      <c r="K54" s="2"/>
      <c r="L54" s="1" t="s">
        <v>9</v>
      </c>
    </row>
    <row r="55" spans="1:12">
      <c r="A55" s="1">
        <v>53</v>
      </c>
      <c r="B55" s="37" t="s">
        <v>520</v>
      </c>
      <c r="C55" s="1" t="s">
        <v>133</v>
      </c>
      <c r="D55" s="1" t="s">
        <v>144</v>
      </c>
      <c r="E55" s="1" t="s">
        <v>19</v>
      </c>
      <c r="F55" s="4">
        <v>2</v>
      </c>
      <c r="G55" s="1" t="s">
        <v>56</v>
      </c>
      <c r="H55" s="1">
        <v>2</v>
      </c>
      <c r="I55" s="1"/>
      <c r="J55" s="1">
        <v>72</v>
      </c>
      <c r="K55" s="1"/>
      <c r="L55" s="1" t="s">
        <v>9</v>
      </c>
    </row>
    <row r="56" spans="1:12">
      <c r="A56" s="1">
        <v>54</v>
      </c>
      <c r="B56" s="37" t="s">
        <v>20</v>
      </c>
      <c r="C56" s="1" t="s">
        <v>133</v>
      </c>
      <c r="D56" s="1" t="s">
        <v>114</v>
      </c>
      <c r="E56" s="1" t="s">
        <v>21</v>
      </c>
      <c r="F56" s="5">
        <v>1</v>
      </c>
      <c r="G56" s="1" t="s">
        <v>91</v>
      </c>
      <c r="H56" s="1">
        <v>2</v>
      </c>
      <c r="I56" s="1"/>
      <c r="J56" s="1">
        <v>36</v>
      </c>
      <c r="K56" s="1"/>
      <c r="L56" s="1" t="s">
        <v>9</v>
      </c>
    </row>
    <row r="57" spans="1:12">
      <c r="A57" s="1">
        <v>55</v>
      </c>
      <c r="B57" s="37" t="s">
        <v>81</v>
      </c>
      <c r="C57" s="1" t="s">
        <v>133</v>
      </c>
      <c r="D57" s="1" t="s">
        <v>145</v>
      </c>
      <c r="E57" s="1" t="s">
        <v>21</v>
      </c>
      <c r="F57" s="5">
        <v>2</v>
      </c>
      <c r="G57" s="1" t="s">
        <v>56</v>
      </c>
      <c r="H57" s="1">
        <v>4</v>
      </c>
      <c r="I57" s="1"/>
      <c r="J57" s="1">
        <v>72</v>
      </c>
      <c r="K57" s="1"/>
      <c r="L57" s="1" t="s">
        <v>9</v>
      </c>
    </row>
    <row r="58" spans="1:12">
      <c r="A58" s="1">
        <v>56</v>
      </c>
      <c r="B58" s="37" t="s">
        <v>81</v>
      </c>
      <c r="C58" s="1" t="s">
        <v>133</v>
      </c>
      <c r="D58" s="1" t="s">
        <v>146</v>
      </c>
      <c r="E58" s="1" t="s">
        <v>21</v>
      </c>
      <c r="F58" s="4">
        <v>2</v>
      </c>
      <c r="G58" s="1" t="s">
        <v>56</v>
      </c>
      <c r="H58" s="1">
        <v>8</v>
      </c>
      <c r="I58" s="1"/>
      <c r="J58" s="1">
        <v>72</v>
      </c>
      <c r="K58" s="1"/>
      <c r="L58" s="1" t="s">
        <v>9</v>
      </c>
    </row>
    <row r="59" spans="1:12">
      <c r="A59" s="1">
        <v>57</v>
      </c>
      <c r="B59" s="37" t="s">
        <v>532</v>
      </c>
      <c r="C59" s="1" t="s">
        <v>133</v>
      </c>
      <c r="D59" s="1" t="s">
        <v>166</v>
      </c>
      <c r="E59" s="1" t="s">
        <v>21</v>
      </c>
      <c r="F59" s="4">
        <v>6</v>
      </c>
      <c r="G59" s="1" t="s">
        <v>555</v>
      </c>
      <c r="H59" s="1">
        <v>11</v>
      </c>
      <c r="I59" s="1"/>
      <c r="J59" s="1">
        <v>216</v>
      </c>
      <c r="K59" s="1"/>
      <c r="L59" s="1" t="s">
        <v>9</v>
      </c>
    </row>
    <row r="60" spans="1:12">
      <c r="A60" s="1">
        <v>58</v>
      </c>
      <c r="B60" s="37" t="s">
        <v>532</v>
      </c>
      <c r="C60" s="1" t="s">
        <v>133</v>
      </c>
      <c r="D60" s="1" t="s">
        <v>167</v>
      </c>
      <c r="E60" s="1" t="s">
        <v>21</v>
      </c>
      <c r="F60" s="4">
        <v>6</v>
      </c>
      <c r="G60" s="1" t="s">
        <v>555</v>
      </c>
      <c r="H60" s="1">
        <v>8</v>
      </c>
      <c r="I60" s="1"/>
      <c r="J60" s="1">
        <v>216</v>
      </c>
      <c r="K60" s="1"/>
      <c r="L60" s="1" t="s">
        <v>9</v>
      </c>
    </row>
    <row r="61" spans="1:12">
      <c r="A61" s="1">
        <v>59</v>
      </c>
      <c r="B61" s="37" t="s">
        <v>532</v>
      </c>
      <c r="C61" s="1" t="s">
        <v>133</v>
      </c>
      <c r="D61" s="1" t="s">
        <v>168</v>
      </c>
      <c r="E61" s="1" t="s">
        <v>21</v>
      </c>
      <c r="F61" s="4">
        <v>6</v>
      </c>
      <c r="G61" s="1" t="s">
        <v>555</v>
      </c>
      <c r="H61" s="1">
        <v>8</v>
      </c>
      <c r="I61" s="1"/>
      <c r="J61" s="1">
        <v>216</v>
      </c>
      <c r="K61" s="1"/>
      <c r="L61" s="1" t="s">
        <v>9</v>
      </c>
    </row>
    <row r="62" spans="1:12">
      <c r="A62" s="1">
        <v>60</v>
      </c>
      <c r="B62" s="37" t="s">
        <v>532</v>
      </c>
      <c r="C62" s="1" t="s">
        <v>133</v>
      </c>
      <c r="D62" s="2" t="s">
        <v>169</v>
      </c>
      <c r="E62" s="1" t="s">
        <v>21</v>
      </c>
      <c r="F62" s="4">
        <v>6</v>
      </c>
      <c r="G62" s="1" t="s">
        <v>555</v>
      </c>
      <c r="H62" s="1">
        <v>8</v>
      </c>
      <c r="I62" s="1"/>
      <c r="J62" s="1">
        <v>216</v>
      </c>
      <c r="K62" s="1"/>
      <c r="L62" s="1" t="s">
        <v>9</v>
      </c>
    </row>
    <row r="63" spans="1:12">
      <c r="A63" s="1">
        <v>61</v>
      </c>
      <c r="B63" s="37" t="s">
        <v>20</v>
      </c>
      <c r="C63" s="1" t="s">
        <v>133</v>
      </c>
      <c r="D63" s="2" t="s">
        <v>58</v>
      </c>
      <c r="E63" s="1" t="s">
        <v>21</v>
      </c>
      <c r="F63" s="4">
        <v>1</v>
      </c>
      <c r="G63" s="1" t="s">
        <v>91</v>
      </c>
      <c r="H63" s="1">
        <v>1</v>
      </c>
      <c r="I63" s="1"/>
      <c r="J63" s="1">
        <v>36</v>
      </c>
      <c r="K63" s="1"/>
      <c r="L63" s="1" t="s">
        <v>9</v>
      </c>
    </row>
    <row r="64" spans="1:12">
      <c r="A64" s="1">
        <v>62</v>
      </c>
      <c r="B64" s="19"/>
      <c r="C64" s="1" t="s">
        <v>133</v>
      </c>
      <c r="D64" s="2" t="s">
        <v>58</v>
      </c>
      <c r="E64" s="1" t="s">
        <v>31</v>
      </c>
      <c r="F64" s="4">
        <v>1</v>
      </c>
      <c r="G64" s="1" t="s">
        <v>316</v>
      </c>
      <c r="H64" s="1">
        <v>3</v>
      </c>
      <c r="I64" s="1"/>
      <c r="J64" s="1"/>
      <c r="K64" s="2" t="s">
        <v>32</v>
      </c>
      <c r="L64" s="1" t="s">
        <v>9</v>
      </c>
    </row>
    <row r="65" spans="1:12">
      <c r="A65" s="1">
        <v>63</v>
      </c>
      <c r="B65" s="19" t="s">
        <v>20</v>
      </c>
      <c r="C65" s="1" t="s">
        <v>133</v>
      </c>
      <c r="D65" s="2" t="s">
        <v>59</v>
      </c>
      <c r="E65" s="1" t="s">
        <v>21</v>
      </c>
      <c r="F65" s="4">
        <v>1</v>
      </c>
      <c r="G65" s="1" t="s">
        <v>91</v>
      </c>
      <c r="H65" s="1">
        <v>1</v>
      </c>
      <c r="I65" s="1"/>
      <c r="J65" s="1">
        <v>36</v>
      </c>
      <c r="K65" s="1"/>
      <c r="L65" s="1" t="s">
        <v>9</v>
      </c>
    </row>
    <row r="66" spans="1:12">
      <c r="A66" s="1">
        <v>64</v>
      </c>
      <c r="B66" s="19"/>
      <c r="C66" s="1" t="s">
        <v>133</v>
      </c>
      <c r="D66" s="2" t="s">
        <v>59</v>
      </c>
      <c r="E66" s="1" t="s">
        <v>31</v>
      </c>
      <c r="F66" s="4">
        <v>1</v>
      </c>
      <c r="G66" s="1" t="s">
        <v>316</v>
      </c>
      <c r="H66" s="1">
        <v>2</v>
      </c>
      <c r="I66" s="1"/>
      <c r="J66" s="1"/>
      <c r="K66" s="2" t="s">
        <v>32</v>
      </c>
      <c r="L66" s="1" t="s">
        <v>9</v>
      </c>
    </row>
    <row r="67" spans="1:12">
      <c r="A67" s="1">
        <v>65</v>
      </c>
      <c r="B67" s="19" t="s">
        <v>28</v>
      </c>
      <c r="C67" s="1" t="s">
        <v>133</v>
      </c>
      <c r="D67" s="2" t="s">
        <v>45</v>
      </c>
      <c r="E67" s="1" t="s">
        <v>21</v>
      </c>
      <c r="F67" s="4">
        <v>1</v>
      </c>
      <c r="G67" s="1" t="s">
        <v>511</v>
      </c>
      <c r="H67" s="1">
        <v>3</v>
      </c>
      <c r="I67" s="1"/>
      <c r="J67" s="1">
        <v>36</v>
      </c>
      <c r="K67" s="1"/>
      <c r="L67" s="1" t="s">
        <v>9</v>
      </c>
    </row>
    <row r="68" spans="1:12">
      <c r="A68" s="1">
        <v>66</v>
      </c>
      <c r="B68" s="19" t="s">
        <v>79</v>
      </c>
      <c r="C68" s="1" t="s">
        <v>133</v>
      </c>
      <c r="D68" s="2" t="s">
        <v>46</v>
      </c>
      <c r="E68" s="1" t="s">
        <v>21</v>
      </c>
      <c r="F68" s="4">
        <v>1</v>
      </c>
      <c r="G68" s="1" t="s">
        <v>554</v>
      </c>
      <c r="H68" s="1">
        <v>1</v>
      </c>
      <c r="I68" s="1"/>
      <c r="J68" s="1">
        <v>36</v>
      </c>
      <c r="K68" s="1"/>
      <c r="L68" s="1" t="s">
        <v>9</v>
      </c>
    </row>
    <row r="69" spans="1:12">
      <c r="A69" s="1">
        <v>67</v>
      </c>
      <c r="B69" s="19" t="s">
        <v>80</v>
      </c>
      <c r="C69" s="1" t="s">
        <v>133</v>
      </c>
      <c r="D69" s="2" t="s">
        <v>46</v>
      </c>
      <c r="E69" s="1" t="s">
        <v>21</v>
      </c>
      <c r="F69" s="4">
        <v>1</v>
      </c>
      <c r="G69" s="1" t="s">
        <v>554</v>
      </c>
      <c r="H69" s="1">
        <v>1</v>
      </c>
      <c r="I69" s="1"/>
      <c r="J69" s="1">
        <v>36</v>
      </c>
      <c r="K69" s="1"/>
      <c r="L69" s="1" t="s">
        <v>9</v>
      </c>
    </row>
    <row r="70" spans="1:12">
      <c r="A70" s="1">
        <v>68</v>
      </c>
      <c r="B70" s="19" t="s">
        <v>82</v>
      </c>
      <c r="C70" s="1" t="s">
        <v>133</v>
      </c>
      <c r="D70" s="2" t="s">
        <v>158</v>
      </c>
      <c r="E70" s="1" t="s">
        <v>21</v>
      </c>
      <c r="F70" s="5">
        <v>1</v>
      </c>
      <c r="G70" s="1" t="s">
        <v>88</v>
      </c>
      <c r="H70" s="1">
        <v>2</v>
      </c>
      <c r="I70" s="1"/>
      <c r="J70" s="1">
        <v>36</v>
      </c>
      <c r="K70" s="1"/>
      <c r="L70" s="1" t="s">
        <v>9</v>
      </c>
    </row>
    <row r="71" spans="1:12">
      <c r="A71" s="1">
        <v>69</v>
      </c>
      <c r="B71" s="19" t="s">
        <v>78</v>
      </c>
      <c r="C71" s="1" t="s">
        <v>133</v>
      </c>
      <c r="D71" s="2" t="s">
        <v>61</v>
      </c>
      <c r="E71" s="1" t="s">
        <v>19</v>
      </c>
      <c r="F71" s="5">
        <v>1</v>
      </c>
      <c r="G71" s="1" t="s">
        <v>506</v>
      </c>
      <c r="H71" s="1">
        <v>1</v>
      </c>
      <c r="I71" s="1"/>
      <c r="J71" s="1">
        <v>26</v>
      </c>
      <c r="K71" s="1"/>
      <c r="L71" s="1" t="s">
        <v>9</v>
      </c>
    </row>
    <row r="72" spans="1:12">
      <c r="A72" s="1">
        <v>70</v>
      </c>
      <c r="B72" s="19" t="s">
        <v>533</v>
      </c>
      <c r="C72" s="1" t="s">
        <v>133</v>
      </c>
      <c r="D72" s="2" t="s">
        <v>147</v>
      </c>
      <c r="E72" s="1" t="s">
        <v>21</v>
      </c>
      <c r="F72" s="5">
        <v>2</v>
      </c>
      <c r="G72" s="2" t="s">
        <v>556</v>
      </c>
      <c r="H72" s="1">
        <v>12</v>
      </c>
      <c r="I72" s="1"/>
      <c r="J72" s="1">
        <v>72</v>
      </c>
      <c r="K72" s="1"/>
      <c r="L72" s="1" t="s">
        <v>9</v>
      </c>
    </row>
    <row r="73" spans="1:12">
      <c r="A73" s="1">
        <v>71</v>
      </c>
      <c r="B73" s="19" t="s">
        <v>532</v>
      </c>
      <c r="C73" s="1" t="s">
        <v>133</v>
      </c>
      <c r="D73" s="2" t="s">
        <v>148</v>
      </c>
      <c r="E73" s="1" t="s">
        <v>21</v>
      </c>
      <c r="F73" s="5">
        <v>6</v>
      </c>
      <c r="G73" s="2" t="s">
        <v>555</v>
      </c>
      <c r="H73" s="1">
        <v>6</v>
      </c>
      <c r="I73" s="1"/>
      <c r="J73" s="1">
        <v>216</v>
      </c>
      <c r="K73" s="1"/>
      <c r="L73" s="1" t="s">
        <v>9</v>
      </c>
    </row>
    <row r="74" spans="1:12">
      <c r="A74" s="1">
        <v>72</v>
      </c>
      <c r="B74" s="19" t="s">
        <v>84</v>
      </c>
      <c r="C74" s="1" t="s">
        <v>133</v>
      </c>
      <c r="D74" s="2" t="s">
        <v>148</v>
      </c>
      <c r="E74" s="1" t="s">
        <v>21</v>
      </c>
      <c r="F74" s="5">
        <v>1</v>
      </c>
      <c r="G74" s="2" t="s">
        <v>89</v>
      </c>
      <c r="H74" s="1">
        <v>1</v>
      </c>
      <c r="I74" s="1"/>
      <c r="J74" s="1">
        <v>36</v>
      </c>
      <c r="K74" s="1"/>
      <c r="L74" s="1" t="s">
        <v>9</v>
      </c>
    </row>
    <row r="75" spans="1:12">
      <c r="A75" s="1">
        <v>73</v>
      </c>
      <c r="B75" s="19" t="s">
        <v>534</v>
      </c>
      <c r="C75" s="1" t="s">
        <v>133</v>
      </c>
      <c r="D75" s="2" t="s">
        <v>149</v>
      </c>
      <c r="E75" s="1" t="s">
        <v>21</v>
      </c>
      <c r="F75" s="5">
        <v>1</v>
      </c>
      <c r="G75" s="2" t="s">
        <v>88</v>
      </c>
      <c r="H75" s="1">
        <v>1</v>
      </c>
      <c r="I75" s="1"/>
      <c r="J75" s="1">
        <v>36</v>
      </c>
      <c r="K75" s="1"/>
      <c r="L75" s="1" t="s">
        <v>9</v>
      </c>
    </row>
    <row r="76" spans="1:12">
      <c r="A76" s="1">
        <v>74</v>
      </c>
      <c r="B76" s="19" t="s">
        <v>515</v>
      </c>
      <c r="C76" s="1" t="s">
        <v>133</v>
      </c>
      <c r="D76" s="2" t="s">
        <v>150</v>
      </c>
      <c r="E76" s="1" t="s">
        <v>21</v>
      </c>
      <c r="F76" s="5">
        <v>2</v>
      </c>
      <c r="G76" s="2" t="s">
        <v>88</v>
      </c>
      <c r="H76" s="1">
        <v>23</v>
      </c>
      <c r="I76" s="1"/>
      <c r="J76" s="1">
        <v>72</v>
      </c>
      <c r="K76" s="1"/>
      <c r="L76" s="1" t="s">
        <v>9</v>
      </c>
    </row>
    <row r="77" spans="1:12">
      <c r="A77" s="1">
        <v>75</v>
      </c>
      <c r="B77" s="19" t="s">
        <v>535</v>
      </c>
      <c r="C77" s="1" t="s">
        <v>133</v>
      </c>
      <c r="D77" s="2" t="s">
        <v>151</v>
      </c>
      <c r="E77" s="1" t="s">
        <v>21</v>
      </c>
      <c r="F77" s="5">
        <v>1</v>
      </c>
      <c r="G77" s="2" t="s">
        <v>511</v>
      </c>
      <c r="H77" s="1">
        <v>8</v>
      </c>
      <c r="I77" s="1"/>
      <c r="J77" s="1">
        <v>36</v>
      </c>
      <c r="K77" s="1"/>
      <c r="L77" s="1" t="s">
        <v>9</v>
      </c>
    </row>
    <row r="78" spans="1:12">
      <c r="A78" s="1">
        <v>76</v>
      </c>
      <c r="B78" s="19" t="s">
        <v>84</v>
      </c>
      <c r="C78" s="1" t="s">
        <v>133</v>
      </c>
      <c r="D78" s="2" t="s">
        <v>151</v>
      </c>
      <c r="E78" s="1" t="s">
        <v>21</v>
      </c>
      <c r="F78" s="5">
        <v>1</v>
      </c>
      <c r="G78" s="2" t="s">
        <v>89</v>
      </c>
      <c r="H78" s="1">
        <v>5</v>
      </c>
      <c r="I78" s="1"/>
      <c r="J78" s="1">
        <v>36</v>
      </c>
      <c r="K78" s="1"/>
      <c r="L78" s="1" t="s">
        <v>9</v>
      </c>
    </row>
    <row r="79" spans="1:12">
      <c r="A79" s="1"/>
      <c r="B79" s="19"/>
      <c r="C79" s="1" t="s">
        <v>557</v>
      </c>
      <c r="D79" s="2" t="s">
        <v>151</v>
      </c>
      <c r="E79" s="1" t="s">
        <v>558</v>
      </c>
      <c r="F79" s="5">
        <v>1</v>
      </c>
      <c r="G79" s="2" t="s">
        <v>559</v>
      </c>
      <c r="H79" s="1">
        <v>2</v>
      </c>
      <c r="I79" s="1"/>
      <c r="J79" s="1">
        <v>13</v>
      </c>
      <c r="K79" s="1" t="s">
        <v>498</v>
      </c>
      <c r="L79" s="1" t="s">
        <v>9</v>
      </c>
    </row>
    <row r="80" spans="1:12">
      <c r="A80" s="1">
        <v>77</v>
      </c>
      <c r="B80" s="19" t="s">
        <v>84</v>
      </c>
      <c r="C80" s="1" t="s">
        <v>133</v>
      </c>
      <c r="D80" s="2" t="s">
        <v>152</v>
      </c>
      <c r="E80" s="1" t="s">
        <v>21</v>
      </c>
      <c r="F80" s="5">
        <v>1</v>
      </c>
      <c r="G80" s="2" t="s">
        <v>89</v>
      </c>
      <c r="H80" s="1">
        <v>4</v>
      </c>
      <c r="I80" s="1"/>
      <c r="J80" s="1">
        <v>36</v>
      </c>
      <c r="K80" s="1"/>
      <c r="L80" s="1" t="s">
        <v>9</v>
      </c>
    </row>
    <row r="81" spans="1:12">
      <c r="A81" s="1">
        <v>78</v>
      </c>
      <c r="B81" s="19" t="s">
        <v>83</v>
      </c>
      <c r="C81" s="1" t="s">
        <v>133</v>
      </c>
      <c r="D81" s="2" t="s">
        <v>153</v>
      </c>
      <c r="E81" s="1" t="s">
        <v>21</v>
      </c>
      <c r="F81" s="5">
        <v>1</v>
      </c>
      <c r="G81" s="2" t="s">
        <v>89</v>
      </c>
      <c r="H81" s="1">
        <v>15</v>
      </c>
      <c r="I81" s="1"/>
      <c r="J81" s="1">
        <v>36</v>
      </c>
      <c r="K81" s="1"/>
      <c r="L81" s="1" t="s">
        <v>9</v>
      </c>
    </row>
    <row r="82" spans="1:12">
      <c r="A82" s="1">
        <v>79</v>
      </c>
      <c r="B82" s="19" t="s">
        <v>533</v>
      </c>
      <c r="C82" s="1" t="s">
        <v>133</v>
      </c>
      <c r="D82" s="2" t="s">
        <v>154</v>
      </c>
      <c r="E82" s="1" t="s">
        <v>21</v>
      </c>
      <c r="F82" s="5">
        <v>2</v>
      </c>
      <c r="G82" s="2" t="s">
        <v>556</v>
      </c>
      <c r="H82" s="1">
        <v>12</v>
      </c>
      <c r="I82" s="1"/>
      <c r="J82" s="1">
        <v>72</v>
      </c>
      <c r="K82" s="1"/>
      <c r="L82" s="1" t="s">
        <v>9</v>
      </c>
    </row>
    <row r="83" spans="1:12">
      <c r="A83" s="1">
        <v>80</v>
      </c>
      <c r="B83" s="19" t="s">
        <v>532</v>
      </c>
      <c r="C83" s="1" t="s">
        <v>133</v>
      </c>
      <c r="D83" s="2" t="s">
        <v>148</v>
      </c>
      <c r="E83" s="1" t="s">
        <v>21</v>
      </c>
      <c r="F83" s="5">
        <v>6</v>
      </c>
      <c r="G83" s="2" t="s">
        <v>555</v>
      </c>
      <c r="H83" s="1">
        <v>6</v>
      </c>
      <c r="I83" s="1"/>
      <c r="J83" s="1">
        <v>216</v>
      </c>
      <c r="K83" s="1"/>
      <c r="L83" s="1" t="s">
        <v>9</v>
      </c>
    </row>
    <row r="84" spans="1:12">
      <c r="A84" s="1">
        <v>81</v>
      </c>
      <c r="B84" s="19" t="s">
        <v>84</v>
      </c>
      <c r="C84" s="1" t="s">
        <v>133</v>
      </c>
      <c r="D84" s="2" t="s">
        <v>148</v>
      </c>
      <c r="E84" s="1" t="s">
        <v>21</v>
      </c>
      <c r="F84" s="5">
        <v>1</v>
      </c>
      <c r="G84" s="2" t="s">
        <v>89</v>
      </c>
      <c r="H84" s="1">
        <v>1</v>
      </c>
      <c r="I84" s="1"/>
      <c r="J84" s="1">
        <v>36</v>
      </c>
      <c r="K84" s="1"/>
      <c r="L84" s="1" t="s">
        <v>9</v>
      </c>
    </row>
    <row r="85" spans="1:12">
      <c r="A85" s="1">
        <v>82</v>
      </c>
      <c r="B85" s="19" t="s">
        <v>82</v>
      </c>
      <c r="C85" s="1" t="s">
        <v>133</v>
      </c>
      <c r="D85" s="2" t="s">
        <v>149</v>
      </c>
      <c r="E85" s="1" t="s">
        <v>21</v>
      </c>
      <c r="F85" s="5">
        <v>1</v>
      </c>
      <c r="G85" s="2" t="s">
        <v>88</v>
      </c>
      <c r="H85" s="1">
        <v>1</v>
      </c>
      <c r="I85" s="1"/>
      <c r="J85" s="1">
        <v>36</v>
      </c>
      <c r="K85" s="1"/>
      <c r="L85" s="1" t="s">
        <v>9</v>
      </c>
    </row>
    <row r="86" spans="1:12">
      <c r="A86" s="1">
        <v>83</v>
      </c>
      <c r="B86" s="19" t="s">
        <v>82</v>
      </c>
      <c r="C86" s="1" t="s">
        <v>133</v>
      </c>
      <c r="D86" s="2" t="s">
        <v>159</v>
      </c>
      <c r="E86" s="1" t="s">
        <v>21</v>
      </c>
      <c r="F86" s="5">
        <v>1</v>
      </c>
      <c r="G86" s="2" t="s">
        <v>88</v>
      </c>
      <c r="H86" s="1">
        <v>2</v>
      </c>
      <c r="I86" s="1"/>
      <c r="J86" s="1">
        <v>36</v>
      </c>
      <c r="K86" s="1"/>
      <c r="L86" s="1" t="s">
        <v>9</v>
      </c>
    </row>
    <row r="87" spans="1:12">
      <c r="A87" s="1">
        <v>84</v>
      </c>
      <c r="B87" s="19" t="s">
        <v>85</v>
      </c>
      <c r="C87" s="1" t="s">
        <v>133</v>
      </c>
      <c r="D87" s="2" t="s">
        <v>64</v>
      </c>
      <c r="E87" s="1" t="s">
        <v>21</v>
      </c>
      <c r="F87" s="5">
        <v>1</v>
      </c>
      <c r="G87" s="2" t="s">
        <v>524</v>
      </c>
      <c r="H87" s="1">
        <v>1</v>
      </c>
      <c r="I87" s="1"/>
      <c r="J87" s="1">
        <v>36</v>
      </c>
      <c r="K87" s="1"/>
      <c r="L87" s="1" t="s">
        <v>9</v>
      </c>
    </row>
    <row r="88" spans="1:12">
      <c r="A88" s="1">
        <v>85</v>
      </c>
      <c r="B88" s="19" t="s">
        <v>86</v>
      </c>
      <c r="C88" s="1" t="s">
        <v>133</v>
      </c>
      <c r="D88" s="2" t="s">
        <v>49</v>
      </c>
      <c r="E88" s="1" t="s">
        <v>19</v>
      </c>
      <c r="F88" s="5">
        <v>1</v>
      </c>
      <c r="G88" s="2" t="s">
        <v>93</v>
      </c>
      <c r="H88" s="1">
        <v>1</v>
      </c>
      <c r="I88" s="1"/>
      <c r="J88" s="1">
        <v>26</v>
      </c>
      <c r="K88" s="1"/>
      <c r="L88" s="1" t="s">
        <v>9</v>
      </c>
    </row>
    <row r="89" spans="1:12">
      <c r="A89" s="1">
        <v>86</v>
      </c>
      <c r="B89" s="19" t="s">
        <v>28</v>
      </c>
      <c r="C89" s="1" t="s">
        <v>133</v>
      </c>
      <c r="D89" s="2" t="s">
        <v>65</v>
      </c>
      <c r="E89" s="1" t="s">
        <v>21</v>
      </c>
      <c r="F89" s="5">
        <v>1</v>
      </c>
      <c r="G89" s="2" t="s">
        <v>511</v>
      </c>
      <c r="H89" s="1">
        <v>2</v>
      </c>
      <c r="I89" s="1"/>
      <c r="J89" s="1">
        <v>36</v>
      </c>
      <c r="K89" s="1"/>
      <c r="L89" s="1" t="s">
        <v>9</v>
      </c>
    </row>
    <row r="90" spans="1:12">
      <c r="A90" s="1">
        <v>87</v>
      </c>
      <c r="B90" s="19" t="s">
        <v>79</v>
      </c>
      <c r="C90" s="1" t="s">
        <v>133</v>
      </c>
      <c r="D90" s="2" t="s">
        <v>50</v>
      </c>
      <c r="E90" s="1" t="s">
        <v>21</v>
      </c>
      <c r="F90" s="5">
        <v>1</v>
      </c>
      <c r="G90" s="2" t="s">
        <v>554</v>
      </c>
      <c r="H90" s="1">
        <v>1</v>
      </c>
      <c r="I90" s="1"/>
      <c r="J90" s="1">
        <v>36</v>
      </c>
      <c r="K90" s="1"/>
      <c r="L90" s="1" t="s">
        <v>9</v>
      </c>
    </row>
    <row r="91" spans="1:12">
      <c r="A91" s="1">
        <v>88</v>
      </c>
      <c r="B91" s="19" t="s">
        <v>80</v>
      </c>
      <c r="C91" s="1" t="s">
        <v>133</v>
      </c>
      <c r="D91" s="2" t="s">
        <v>50</v>
      </c>
      <c r="E91" s="1" t="s">
        <v>21</v>
      </c>
      <c r="F91" s="5">
        <v>1</v>
      </c>
      <c r="G91" s="2" t="s">
        <v>554</v>
      </c>
      <c r="H91" s="1">
        <v>1</v>
      </c>
      <c r="I91" s="1"/>
      <c r="J91" s="1">
        <v>36</v>
      </c>
      <c r="K91" s="1"/>
      <c r="L91" s="1" t="s">
        <v>9</v>
      </c>
    </row>
    <row r="92" spans="1:12">
      <c r="A92" s="1">
        <v>89</v>
      </c>
      <c r="B92" s="19" t="s">
        <v>532</v>
      </c>
      <c r="C92" s="1" t="s">
        <v>133</v>
      </c>
      <c r="D92" s="2" t="s">
        <v>155</v>
      </c>
      <c r="E92" s="1" t="s">
        <v>21</v>
      </c>
      <c r="F92" s="5">
        <v>6</v>
      </c>
      <c r="G92" s="2" t="s">
        <v>555</v>
      </c>
      <c r="H92" s="1">
        <v>8</v>
      </c>
      <c r="I92" s="1"/>
      <c r="J92" s="1">
        <v>216</v>
      </c>
      <c r="K92" s="1"/>
      <c r="L92" s="1" t="s">
        <v>9</v>
      </c>
    </row>
    <row r="93" spans="1:12">
      <c r="A93" s="1">
        <v>90</v>
      </c>
      <c r="B93" s="19" t="s">
        <v>532</v>
      </c>
      <c r="C93" s="1" t="s">
        <v>133</v>
      </c>
      <c r="D93" s="2" t="s">
        <v>156</v>
      </c>
      <c r="E93" s="1" t="s">
        <v>21</v>
      </c>
      <c r="F93" s="5">
        <v>6</v>
      </c>
      <c r="G93" s="2" t="s">
        <v>555</v>
      </c>
      <c r="H93" s="1">
        <v>8</v>
      </c>
      <c r="I93" s="1"/>
      <c r="J93" s="1">
        <v>216</v>
      </c>
      <c r="K93" s="1"/>
      <c r="L93" s="1" t="s">
        <v>9</v>
      </c>
    </row>
    <row r="94" spans="1:12">
      <c r="A94" s="1">
        <v>91</v>
      </c>
      <c r="B94" s="19" t="s">
        <v>81</v>
      </c>
      <c r="C94" s="1" t="s">
        <v>133</v>
      </c>
      <c r="D94" s="2" t="s">
        <v>157</v>
      </c>
      <c r="E94" s="1" t="s">
        <v>21</v>
      </c>
      <c r="F94" s="5">
        <v>2</v>
      </c>
      <c r="G94" s="2" t="s">
        <v>56</v>
      </c>
      <c r="H94" s="1">
        <v>54</v>
      </c>
      <c r="I94" s="1"/>
      <c r="J94" s="1">
        <v>72</v>
      </c>
      <c r="K94" s="1"/>
      <c r="L94" s="1" t="s">
        <v>9</v>
      </c>
    </row>
    <row r="95" spans="1:12">
      <c r="A95" s="1">
        <v>92</v>
      </c>
      <c r="B95" s="19"/>
      <c r="C95" s="1" t="s">
        <v>133</v>
      </c>
      <c r="D95" s="2" t="s">
        <v>157</v>
      </c>
      <c r="E95" s="1" t="s">
        <v>164</v>
      </c>
      <c r="F95" s="5">
        <v>1</v>
      </c>
      <c r="G95" s="2" t="s">
        <v>12</v>
      </c>
      <c r="H95" s="1">
        <v>6</v>
      </c>
      <c r="I95" s="1"/>
      <c r="J95" s="1">
        <v>22</v>
      </c>
      <c r="K95" s="1"/>
      <c r="L95" s="1" t="s">
        <v>9</v>
      </c>
    </row>
    <row r="96" spans="1:12">
      <c r="A96" s="1">
        <v>93</v>
      </c>
      <c r="B96" s="19"/>
      <c r="C96" s="1" t="s">
        <v>133</v>
      </c>
      <c r="D96" s="2" t="s">
        <v>170</v>
      </c>
      <c r="E96" s="1" t="s">
        <v>72</v>
      </c>
      <c r="F96" s="5">
        <v>1</v>
      </c>
      <c r="G96" s="2" t="s">
        <v>73</v>
      </c>
      <c r="H96" s="1">
        <v>30</v>
      </c>
      <c r="I96" s="1"/>
      <c r="J96" s="1">
        <v>60</v>
      </c>
      <c r="K96" s="1"/>
      <c r="L96" s="1" t="s">
        <v>9</v>
      </c>
    </row>
    <row r="97" spans="1:12">
      <c r="A97" s="7"/>
      <c r="B97" s="22"/>
      <c r="C97" s="7"/>
      <c r="D97" s="6"/>
      <c r="E97" s="7"/>
      <c r="F97" s="9"/>
      <c r="G97" s="6"/>
      <c r="H97" s="7">
        <f>SUM(H3:H96)</f>
        <v>554</v>
      </c>
      <c r="I97" s="7"/>
      <c r="J97" s="7"/>
      <c r="K97" s="7"/>
      <c r="L97" s="7"/>
    </row>
    <row r="98" spans="1:12">
      <c r="C98" s="7"/>
      <c r="D98" s="6"/>
      <c r="E98" s="7"/>
      <c r="F98" s="9"/>
      <c r="G98" s="6"/>
      <c r="H98" s="7"/>
      <c r="I98" s="7"/>
      <c r="J98" s="7"/>
      <c r="K98" s="7"/>
      <c r="L98" s="7"/>
    </row>
    <row r="99" spans="1:12">
      <c r="A99" t="s">
        <v>77</v>
      </c>
    </row>
    <row r="100" spans="1:12">
      <c r="A100" s="1">
        <v>94</v>
      </c>
      <c r="B100" s="29" t="s">
        <v>67</v>
      </c>
      <c r="C100" s="2" t="s">
        <v>133</v>
      </c>
      <c r="D100" s="2" t="s">
        <v>57</v>
      </c>
      <c r="E100" s="1" t="s">
        <v>97</v>
      </c>
      <c r="F100" s="4">
        <v>1</v>
      </c>
      <c r="G100" s="1" t="s">
        <v>594</v>
      </c>
      <c r="H100" s="1">
        <v>1</v>
      </c>
      <c r="I100" s="1">
        <v>8760</v>
      </c>
      <c r="J100" s="1">
        <v>4</v>
      </c>
      <c r="K100" s="1"/>
      <c r="L100" s="1" t="s">
        <v>9</v>
      </c>
    </row>
    <row r="101" spans="1:12">
      <c r="A101" s="1">
        <v>95</v>
      </c>
      <c r="B101" s="29" t="s">
        <v>69</v>
      </c>
      <c r="C101" s="2" t="s">
        <v>133</v>
      </c>
      <c r="D101" s="2" t="s">
        <v>39</v>
      </c>
      <c r="E101" s="1" t="s">
        <v>97</v>
      </c>
      <c r="F101" s="4">
        <v>1</v>
      </c>
      <c r="G101" s="1" t="s">
        <v>594</v>
      </c>
      <c r="H101" s="1">
        <v>1</v>
      </c>
      <c r="I101" s="1">
        <v>8760</v>
      </c>
      <c r="J101" s="1">
        <v>4</v>
      </c>
      <c r="K101" s="1"/>
      <c r="L101" s="1" t="s">
        <v>9</v>
      </c>
    </row>
    <row r="102" spans="1:12">
      <c r="A102" s="1">
        <v>96</v>
      </c>
      <c r="B102" s="29" t="s">
        <v>67</v>
      </c>
      <c r="C102" s="2" t="s">
        <v>133</v>
      </c>
      <c r="D102" s="2" t="s">
        <v>45</v>
      </c>
      <c r="E102" s="1" t="s">
        <v>97</v>
      </c>
      <c r="F102" s="4">
        <v>1</v>
      </c>
      <c r="G102" s="1" t="s">
        <v>594</v>
      </c>
      <c r="H102" s="1">
        <v>1</v>
      </c>
      <c r="I102" s="1">
        <v>8760</v>
      </c>
      <c r="J102" s="1">
        <v>4</v>
      </c>
      <c r="K102" s="1"/>
      <c r="L102" s="1" t="s">
        <v>9</v>
      </c>
    </row>
    <row r="103" spans="1:12">
      <c r="A103" s="1">
        <v>97</v>
      </c>
      <c r="B103" s="29" t="s">
        <v>68</v>
      </c>
      <c r="C103" s="2" t="s">
        <v>133</v>
      </c>
      <c r="D103" s="2" t="s">
        <v>45</v>
      </c>
      <c r="E103" s="1" t="s">
        <v>98</v>
      </c>
      <c r="F103" s="4">
        <v>1</v>
      </c>
      <c r="G103" s="1" t="s">
        <v>594</v>
      </c>
      <c r="H103" s="1">
        <v>1</v>
      </c>
      <c r="I103" s="1">
        <v>8760</v>
      </c>
      <c r="J103" s="1">
        <v>4</v>
      </c>
      <c r="K103" s="1"/>
      <c r="L103" s="1" t="s">
        <v>9</v>
      </c>
    </row>
    <row r="104" spans="1:12">
      <c r="A104" s="1">
        <v>98</v>
      </c>
      <c r="B104" s="29" t="s">
        <v>67</v>
      </c>
      <c r="C104" s="2" t="s">
        <v>133</v>
      </c>
      <c r="D104" s="2" t="s">
        <v>65</v>
      </c>
      <c r="E104" s="1" t="s">
        <v>97</v>
      </c>
      <c r="F104" s="4">
        <v>1</v>
      </c>
      <c r="G104" s="1" t="s">
        <v>594</v>
      </c>
      <c r="H104" s="1">
        <v>1</v>
      </c>
      <c r="I104" s="1">
        <v>8760</v>
      </c>
      <c r="J104" s="1">
        <v>4</v>
      </c>
      <c r="K104" s="1"/>
      <c r="L104" s="1" t="s">
        <v>9</v>
      </c>
    </row>
    <row r="105" spans="1:12">
      <c r="A105" s="1">
        <v>99</v>
      </c>
      <c r="B105" s="29" t="s">
        <v>69</v>
      </c>
      <c r="C105" s="2" t="s">
        <v>133</v>
      </c>
      <c r="D105" s="2" t="s">
        <v>49</v>
      </c>
      <c r="E105" s="1" t="s">
        <v>97</v>
      </c>
      <c r="F105" s="4">
        <v>1</v>
      </c>
      <c r="G105" s="1" t="s">
        <v>594</v>
      </c>
      <c r="H105" s="1">
        <v>1</v>
      </c>
      <c r="I105" s="1">
        <v>8760</v>
      </c>
      <c r="J105" s="1">
        <v>4</v>
      </c>
      <c r="K105" s="1"/>
      <c r="L105" s="1" t="s">
        <v>9</v>
      </c>
    </row>
    <row r="106" spans="1:12">
      <c r="A106" s="1">
        <v>100</v>
      </c>
      <c r="B106" s="29" t="s">
        <v>67</v>
      </c>
      <c r="C106" s="2" t="s">
        <v>133</v>
      </c>
      <c r="D106" s="2" t="s">
        <v>23</v>
      </c>
      <c r="E106" s="1" t="s">
        <v>97</v>
      </c>
      <c r="F106" s="4">
        <v>1</v>
      </c>
      <c r="G106" s="1" t="s">
        <v>594</v>
      </c>
      <c r="H106" s="1">
        <v>1</v>
      </c>
      <c r="I106" s="1">
        <v>8760</v>
      </c>
      <c r="J106" s="1">
        <v>4</v>
      </c>
      <c r="K106" s="1"/>
      <c r="L106" s="1" t="s">
        <v>9</v>
      </c>
    </row>
    <row r="107" spans="1:12">
      <c r="A107" s="1">
        <v>101</v>
      </c>
      <c r="B107" s="29" t="s">
        <v>68</v>
      </c>
      <c r="C107" s="2" t="s">
        <v>133</v>
      </c>
      <c r="D107" s="2" t="s">
        <v>23</v>
      </c>
      <c r="E107" s="1" t="s">
        <v>98</v>
      </c>
      <c r="F107" s="4">
        <v>1</v>
      </c>
      <c r="G107" s="1" t="s">
        <v>594</v>
      </c>
      <c r="H107" s="1">
        <v>1</v>
      </c>
      <c r="I107" s="1">
        <v>8760</v>
      </c>
      <c r="J107" s="1">
        <v>4</v>
      </c>
      <c r="K107" s="1"/>
      <c r="L107" s="1" t="s">
        <v>9</v>
      </c>
    </row>
    <row r="108" spans="1:12">
      <c r="A108" s="1">
        <v>102</v>
      </c>
      <c r="B108" s="19" t="s">
        <v>67</v>
      </c>
      <c r="C108" s="1" t="s">
        <v>133</v>
      </c>
      <c r="D108" s="1" t="s">
        <v>151</v>
      </c>
      <c r="E108" s="1" t="s">
        <v>97</v>
      </c>
      <c r="F108" s="4">
        <v>1</v>
      </c>
      <c r="G108" s="1" t="s">
        <v>594</v>
      </c>
      <c r="H108" s="1">
        <v>2</v>
      </c>
      <c r="I108" s="1">
        <v>8760</v>
      </c>
      <c r="J108" s="1">
        <v>4</v>
      </c>
      <c r="K108" s="1"/>
      <c r="L108" s="1" t="s">
        <v>9</v>
      </c>
    </row>
    <row r="109" spans="1:12">
      <c r="A109" s="1">
        <v>103</v>
      </c>
      <c r="B109" s="19" t="s">
        <v>68</v>
      </c>
      <c r="C109" s="1" t="s">
        <v>133</v>
      </c>
      <c r="D109" s="1" t="s">
        <v>151</v>
      </c>
      <c r="E109" s="1" t="s">
        <v>98</v>
      </c>
      <c r="F109" s="4">
        <v>1</v>
      </c>
      <c r="G109" s="1" t="s">
        <v>594</v>
      </c>
      <c r="H109" s="1">
        <v>1</v>
      </c>
      <c r="I109" s="1">
        <v>8760</v>
      </c>
      <c r="J109" s="1">
        <v>4</v>
      </c>
      <c r="K109" s="1"/>
      <c r="L109" s="1" t="s">
        <v>9</v>
      </c>
    </row>
    <row r="110" spans="1:12">
      <c r="A110" s="1">
        <v>104</v>
      </c>
      <c r="B110" s="29" t="s">
        <v>67</v>
      </c>
      <c r="C110" s="1" t="s">
        <v>133</v>
      </c>
      <c r="D110" s="2" t="s">
        <v>160</v>
      </c>
      <c r="E110" s="1" t="s">
        <v>97</v>
      </c>
      <c r="F110" s="4">
        <v>1</v>
      </c>
      <c r="G110" s="1" t="s">
        <v>594</v>
      </c>
      <c r="H110" s="2">
        <v>4</v>
      </c>
      <c r="I110" s="1">
        <v>8760</v>
      </c>
      <c r="J110" s="1">
        <v>4</v>
      </c>
      <c r="K110" s="1"/>
      <c r="L110" s="1" t="s">
        <v>9</v>
      </c>
    </row>
    <row r="111" spans="1:12">
      <c r="A111" s="1">
        <v>105</v>
      </c>
      <c r="B111" s="29" t="s">
        <v>68</v>
      </c>
      <c r="C111" s="1" t="s">
        <v>133</v>
      </c>
      <c r="D111" s="2" t="s">
        <v>161</v>
      </c>
      <c r="E111" s="1" t="s">
        <v>98</v>
      </c>
      <c r="F111" s="4">
        <v>1</v>
      </c>
      <c r="G111" s="1" t="s">
        <v>594</v>
      </c>
      <c r="H111" s="2">
        <v>1</v>
      </c>
      <c r="I111" s="1">
        <v>8760</v>
      </c>
      <c r="J111" s="1">
        <v>4</v>
      </c>
      <c r="K111" s="1"/>
      <c r="L111" s="1" t="s">
        <v>9</v>
      </c>
    </row>
    <row r="112" spans="1:12">
      <c r="A112" s="1">
        <v>106</v>
      </c>
      <c r="B112" s="19" t="s">
        <v>162</v>
      </c>
      <c r="C112" s="1" t="s">
        <v>133</v>
      </c>
      <c r="D112" s="1" t="s">
        <v>11</v>
      </c>
      <c r="E112" s="1" t="s">
        <v>97</v>
      </c>
      <c r="F112" s="4">
        <v>1</v>
      </c>
      <c r="G112" s="1" t="s">
        <v>595</v>
      </c>
      <c r="H112" s="1">
        <v>2</v>
      </c>
      <c r="I112" s="1">
        <v>8760</v>
      </c>
      <c r="J112" s="1">
        <v>7</v>
      </c>
      <c r="K112" s="1"/>
      <c r="L112" s="1" t="s">
        <v>9</v>
      </c>
    </row>
    <row r="113" spans="1:12">
      <c r="A113" s="1">
        <v>107</v>
      </c>
      <c r="B113" s="19" t="s">
        <v>69</v>
      </c>
      <c r="C113" s="1" t="s">
        <v>133</v>
      </c>
      <c r="D113" s="1" t="s">
        <v>11</v>
      </c>
      <c r="E113" s="1" t="s">
        <v>97</v>
      </c>
      <c r="F113" s="4">
        <v>1</v>
      </c>
      <c r="G113" s="1" t="s">
        <v>594</v>
      </c>
      <c r="H113" s="1">
        <v>2</v>
      </c>
      <c r="I113" s="1">
        <v>8760</v>
      </c>
      <c r="J113" s="1">
        <v>4</v>
      </c>
      <c r="K113" s="1"/>
      <c r="L113" s="1" t="s">
        <v>9</v>
      </c>
    </row>
    <row r="114" spans="1:12">
      <c r="A114" s="1">
        <v>108</v>
      </c>
      <c r="B114" s="19" t="s">
        <v>68</v>
      </c>
      <c r="C114" s="1" t="s">
        <v>133</v>
      </c>
      <c r="D114" s="1" t="s">
        <v>11</v>
      </c>
      <c r="E114" s="1" t="s">
        <v>98</v>
      </c>
      <c r="F114" s="4">
        <v>1</v>
      </c>
      <c r="G114" s="1" t="s">
        <v>594</v>
      </c>
      <c r="H114" s="1">
        <v>9</v>
      </c>
      <c r="I114" s="1">
        <v>8760</v>
      </c>
      <c r="J114" s="1">
        <v>4</v>
      </c>
      <c r="K114" s="1"/>
      <c r="L114" s="1" t="s">
        <v>9</v>
      </c>
    </row>
    <row r="115" spans="1:12">
      <c r="A115" s="7"/>
      <c r="B115" s="22"/>
      <c r="C115" s="7"/>
      <c r="D115" s="7"/>
      <c r="E115" s="7"/>
      <c r="F115" s="8"/>
      <c r="G115" s="7"/>
      <c r="H115" s="7">
        <f>SUM(H100:H114)</f>
        <v>29</v>
      </c>
      <c r="I115" s="7"/>
      <c r="J115" s="7"/>
      <c r="K115" s="7"/>
      <c r="L115" s="7"/>
    </row>
    <row r="117" spans="1:12" ht="17.25" customHeight="1">
      <c r="A117" t="s">
        <v>70</v>
      </c>
    </row>
    <row r="118" spans="1:12">
      <c r="A118" s="1">
        <v>109</v>
      </c>
      <c r="B118" s="19"/>
      <c r="C118" s="1" t="s">
        <v>133</v>
      </c>
      <c r="D118" s="1" t="s">
        <v>71</v>
      </c>
      <c r="E118" s="1" t="s">
        <v>72</v>
      </c>
      <c r="F118" s="4">
        <v>1</v>
      </c>
      <c r="G118" s="19" t="s">
        <v>585</v>
      </c>
      <c r="H118" s="1">
        <v>98</v>
      </c>
      <c r="I118" s="1">
        <v>0</v>
      </c>
      <c r="J118" s="1">
        <v>60</v>
      </c>
      <c r="K118" s="1"/>
      <c r="L118" s="1" t="s">
        <v>9</v>
      </c>
    </row>
    <row r="119" spans="1:12">
      <c r="C119" s="18"/>
      <c r="D119" s="18"/>
      <c r="E119" s="18"/>
      <c r="F119" s="18"/>
      <c r="G119" s="18"/>
      <c r="H119" s="18">
        <f>SUM(H118:H118)</f>
        <v>98</v>
      </c>
      <c r="I119" s="31"/>
      <c r="J119" s="11"/>
      <c r="K119" s="18"/>
    </row>
  </sheetData>
  <phoneticPr fontId="2"/>
  <pageMargins left="0.7" right="0.7" top="0.75" bottom="0.75" header="0.3" footer="0.3"/>
  <pageSetup paperSize="8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5C58-BBC5-4B36-BF65-CC7287107EB0}">
  <sheetPr>
    <pageSetUpPr fitToPage="1"/>
  </sheetPr>
  <dimension ref="A1:L113"/>
  <sheetViews>
    <sheetView topLeftCell="A112" workbookViewId="0">
      <selection activeCell="C13" sqref="C13"/>
    </sheetView>
  </sheetViews>
  <sheetFormatPr defaultRowHeight="17.649999999999999"/>
  <cols>
    <col min="1" max="1" width="4.4375" customWidth="1"/>
    <col min="2" max="2" width="8.25" style="18" bestFit="1" customWidth="1"/>
    <col min="3" max="3" width="4.5" style="11" customWidth="1"/>
    <col min="4" max="4" width="23" style="11" bestFit="1" customWidth="1"/>
    <col min="5" max="5" width="21.375" style="11" bestFit="1" customWidth="1"/>
    <col min="6" max="6" width="4.8125" bestFit="1" customWidth="1"/>
    <col min="7" max="7" width="23.9375" customWidth="1"/>
    <col min="8" max="8" width="5.1875" bestFit="1" customWidth="1"/>
    <col min="9" max="9" width="12.9375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9" t="s">
        <v>14</v>
      </c>
      <c r="C2" s="12" t="s">
        <v>1</v>
      </c>
      <c r="D2" s="12" t="s">
        <v>13</v>
      </c>
      <c r="E2" s="12" t="s">
        <v>2</v>
      </c>
      <c r="F2" s="1" t="s">
        <v>3</v>
      </c>
      <c r="G2" s="1" t="s">
        <v>6</v>
      </c>
      <c r="H2" s="1" t="s">
        <v>4</v>
      </c>
      <c r="I2" s="1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37" t="s">
        <v>282</v>
      </c>
      <c r="C3" s="12" t="s">
        <v>171</v>
      </c>
      <c r="D3" s="12" t="s">
        <v>172</v>
      </c>
      <c r="E3" s="12" t="s">
        <v>21</v>
      </c>
      <c r="F3" s="4">
        <v>1</v>
      </c>
      <c r="G3" s="1" t="s">
        <v>91</v>
      </c>
      <c r="H3" s="1">
        <v>1</v>
      </c>
      <c r="I3" s="1"/>
      <c r="J3" s="1">
        <v>36</v>
      </c>
      <c r="K3" s="1"/>
      <c r="L3" s="1" t="s">
        <v>9</v>
      </c>
    </row>
    <row r="4" spans="1:12">
      <c r="A4" s="1">
        <v>2</v>
      </c>
      <c r="B4" s="37" t="s">
        <v>282</v>
      </c>
      <c r="C4" s="12" t="s">
        <v>171</v>
      </c>
      <c r="D4" s="12" t="s">
        <v>173</v>
      </c>
      <c r="E4" s="12" t="s">
        <v>21</v>
      </c>
      <c r="F4" s="4">
        <v>1</v>
      </c>
      <c r="G4" s="1" t="s">
        <v>91</v>
      </c>
      <c r="H4" s="1">
        <v>1</v>
      </c>
      <c r="I4" s="1"/>
      <c r="J4" s="1">
        <v>36</v>
      </c>
      <c r="K4" s="1"/>
      <c r="L4" s="1" t="s">
        <v>9</v>
      </c>
    </row>
    <row r="5" spans="1:12">
      <c r="A5" s="1">
        <v>3</v>
      </c>
      <c r="B5" s="37" t="s">
        <v>283</v>
      </c>
      <c r="C5" s="12" t="s">
        <v>171</v>
      </c>
      <c r="D5" s="12" t="s">
        <v>23</v>
      </c>
      <c r="E5" s="12" t="s">
        <v>21</v>
      </c>
      <c r="F5" s="4">
        <v>1</v>
      </c>
      <c r="G5" s="1" t="s">
        <v>511</v>
      </c>
      <c r="H5" s="1">
        <v>3</v>
      </c>
      <c r="I5" s="1"/>
      <c r="J5" s="1">
        <v>36</v>
      </c>
      <c r="K5" s="1"/>
      <c r="L5" s="1" t="s">
        <v>9</v>
      </c>
    </row>
    <row r="6" spans="1:12">
      <c r="A6" s="1">
        <v>4</v>
      </c>
      <c r="B6" s="37" t="s">
        <v>284</v>
      </c>
      <c r="C6" s="12" t="s">
        <v>171</v>
      </c>
      <c r="D6" s="12" t="s">
        <v>174</v>
      </c>
      <c r="E6" s="12" t="s">
        <v>19</v>
      </c>
      <c r="F6" s="4">
        <v>1</v>
      </c>
      <c r="G6" s="1" t="s">
        <v>506</v>
      </c>
      <c r="H6" s="1">
        <v>1</v>
      </c>
      <c r="I6" s="1"/>
      <c r="J6" s="1">
        <v>26</v>
      </c>
      <c r="K6" s="1"/>
      <c r="L6" s="1" t="s">
        <v>9</v>
      </c>
    </row>
    <row r="7" spans="1:12">
      <c r="A7" s="1">
        <v>5</v>
      </c>
      <c r="B7" s="62" t="s">
        <v>285</v>
      </c>
      <c r="C7" s="12" t="s">
        <v>171</v>
      </c>
      <c r="D7" s="12" t="s">
        <v>175</v>
      </c>
      <c r="E7" s="12" t="s">
        <v>21</v>
      </c>
      <c r="F7" s="4">
        <v>1</v>
      </c>
      <c r="G7" s="1" t="s">
        <v>554</v>
      </c>
      <c r="H7" s="1">
        <v>2</v>
      </c>
      <c r="I7" s="1"/>
      <c r="J7" s="1">
        <v>36</v>
      </c>
      <c r="K7" s="1"/>
      <c r="L7" s="1" t="s">
        <v>9</v>
      </c>
    </row>
    <row r="8" spans="1:12">
      <c r="A8" s="1">
        <v>6</v>
      </c>
      <c r="B8" s="37" t="s">
        <v>282</v>
      </c>
      <c r="C8" s="12" t="s">
        <v>171</v>
      </c>
      <c r="D8" s="12" t="s">
        <v>176</v>
      </c>
      <c r="E8" s="12" t="s">
        <v>21</v>
      </c>
      <c r="F8" s="4">
        <v>1</v>
      </c>
      <c r="G8" s="1" t="s">
        <v>91</v>
      </c>
      <c r="H8" s="1">
        <v>1</v>
      </c>
      <c r="I8" s="1"/>
      <c r="J8" s="1">
        <v>36</v>
      </c>
      <c r="K8" s="1"/>
      <c r="L8" s="1" t="s">
        <v>9</v>
      </c>
    </row>
    <row r="9" spans="1:12">
      <c r="A9" s="1">
        <v>7</v>
      </c>
      <c r="B9" s="37"/>
      <c r="C9" s="12" t="s">
        <v>171</v>
      </c>
      <c r="D9" s="12" t="s">
        <v>176</v>
      </c>
      <c r="E9" s="12" t="s">
        <v>31</v>
      </c>
      <c r="F9" s="4">
        <v>1</v>
      </c>
      <c r="G9" s="1" t="s">
        <v>316</v>
      </c>
      <c r="H9" s="1">
        <v>3</v>
      </c>
      <c r="I9" s="1"/>
      <c r="J9" s="1"/>
      <c r="K9" s="2" t="s">
        <v>32</v>
      </c>
      <c r="L9" s="1" t="s">
        <v>9</v>
      </c>
    </row>
    <row r="10" spans="1:12">
      <c r="A10" s="1">
        <v>8</v>
      </c>
      <c r="B10" s="37" t="s">
        <v>282</v>
      </c>
      <c r="C10" s="12" t="s">
        <v>171</v>
      </c>
      <c r="D10" s="12" t="s">
        <v>177</v>
      </c>
      <c r="E10" s="12" t="s">
        <v>21</v>
      </c>
      <c r="F10" s="4">
        <v>1</v>
      </c>
      <c r="G10" s="1" t="s">
        <v>91</v>
      </c>
      <c r="H10" s="1">
        <v>1</v>
      </c>
      <c r="I10" s="1"/>
      <c r="J10" s="1">
        <v>36</v>
      </c>
      <c r="K10" s="2"/>
      <c r="L10" s="1" t="s">
        <v>9</v>
      </c>
    </row>
    <row r="11" spans="1:12">
      <c r="A11" s="1">
        <v>9</v>
      </c>
      <c r="C11" s="12" t="s">
        <v>171</v>
      </c>
      <c r="D11" s="12" t="s">
        <v>177</v>
      </c>
      <c r="E11" s="12" t="s">
        <v>31</v>
      </c>
      <c r="F11" s="4">
        <v>1</v>
      </c>
      <c r="G11" s="1" t="s">
        <v>316</v>
      </c>
      <c r="H11" s="1">
        <v>2</v>
      </c>
      <c r="I11" s="1"/>
      <c r="J11" s="1"/>
      <c r="K11" s="2" t="s">
        <v>32</v>
      </c>
      <c r="L11" s="1" t="s">
        <v>9</v>
      </c>
    </row>
    <row r="12" spans="1:12">
      <c r="A12" s="1">
        <v>10</v>
      </c>
      <c r="B12" s="37" t="s">
        <v>560</v>
      </c>
      <c r="C12" s="12" t="s">
        <v>171</v>
      </c>
      <c r="D12" s="12" t="s">
        <v>178</v>
      </c>
      <c r="E12" s="12" t="s">
        <v>21</v>
      </c>
      <c r="F12" s="4">
        <v>2</v>
      </c>
      <c r="G12" s="2" t="s">
        <v>556</v>
      </c>
      <c r="H12" s="1">
        <v>4</v>
      </c>
      <c r="I12" s="1"/>
      <c r="J12" s="1">
        <v>72</v>
      </c>
      <c r="K12" s="2"/>
      <c r="L12" s="1" t="s">
        <v>9</v>
      </c>
    </row>
    <row r="13" spans="1:12">
      <c r="A13" s="1">
        <v>11</v>
      </c>
      <c r="B13" s="37" t="s">
        <v>560</v>
      </c>
      <c r="C13" s="12" t="s">
        <v>171</v>
      </c>
      <c r="D13" s="12" t="s">
        <v>179</v>
      </c>
      <c r="E13" s="12" t="s">
        <v>21</v>
      </c>
      <c r="F13" s="5">
        <v>2</v>
      </c>
      <c r="G13" s="1" t="s">
        <v>569</v>
      </c>
      <c r="H13" s="2">
        <v>4</v>
      </c>
      <c r="I13" s="2"/>
      <c r="J13" s="2">
        <v>72</v>
      </c>
      <c r="K13" s="2"/>
      <c r="L13" s="1" t="s">
        <v>9</v>
      </c>
    </row>
    <row r="14" spans="1:12">
      <c r="A14" s="1">
        <v>12</v>
      </c>
      <c r="B14" s="37" t="s">
        <v>83</v>
      </c>
      <c r="C14" s="12" t="s">
        <v>171</v>
      </c>
      <c r="D14" s="29" t="s">
        <v>11</v>
      </c>
      <c r="E14" s="12" t="s">
        <v>21</v>
      </c>
      <c r="F14" s="5">
        <v>1</v>
      </c>
      <c r="G14" s="2" t="s">
        <v>89</v>
      </c>
      <c r="H14" s="14">
        <v>94</v>
      </c>
      <c r="I14" s="2"/>
      <c r="J14" s="2">
        <v>36</v>
      </c>
      <c r="K14" s="2"/>
      <c r="L14" s="1" t="s">
        <v>9</v>
      </c>
    </row>
    <row r="15" spans="1:12">
      <c r="A15" s="1">
        <v>13</v>
      </c>
      <c r="B15" s="37" t="s">
        <v>84</v>
      </c>
      <c r="C15" s="12" t="s">
        <v>220</v>
      </c>
      <c r="D15" s="12" t="s">
        <v>11</v>
      </c>
      <c r="E15" s="12" t="s">
        <v>21</v>
      </c>
      <c r="F15" s="5">
        <v>1</v>
      </c>
      <c r="G15" s="1" t="s">
        <v>89</v>
      </c>
      <c r="H15" s="2">
        <v>2</v>
      </c>
      <c r="I15" s="2"/>
      <c r="J15" s="2">
        <v>36</v>
      </c>
      <c r="K15" s="2"/>
      <c r="L15" s="1" t="s">
        <v>9</v>
      </c>
    </row>
    <row r="16" spans="1:12">
      <c r="A16" s="1">
        <v>14</v>
      </c>
      <c r="B16" s="37"/>
      <c r="C16" s="12" t="s">
        <v>220</v>
      </c>
      <c r="D16" s="12" t="s">
        <v>11</v>
      </c>
      <c r="E16" s="12" t="s">
        <v>72</v>
      </c>
      <c r="F16" s="5">
        <v>1</v>
      </c>
      <c r="G16" s="1" t="s">
        <v>73</v>
      </c>
      <c r="H16" s="2">
        <v>4</v>
      </c>
      <c r="I16" s="2"/>
      <c r="J16" s="2">
        <v>60</v>
      </c>
      <c r="K16" s="2"/>
      <c r="L16" s="1" t="s">
        <v>9</v>
      </c>
    </row>
    <row r="17" spans="1:12">
      <c r="A17" s="1">
        <v>15</v>
      </c>
      <c r="B17" s="37"/>
      <c r="C17" s="12" t="s">
        <v>220</v>
      </c>
      <c r="D17" s="12" t="s">
        <v>11</v>
      </c>
      <c r="E17" s="12" t="s">
        <v>75</v>
      </c>
      <c r="F17" s="5">
        <v>1</v>
      </c>
      <c r="G17" s="1" t="s">
        <v>76</v>
      </c>
      <c r="H17" s="2">
        <v>5</v>
      </c>
      <c r="I17" s="2"/>
      <c r="J17" s="2"/>
      <c r="K17" s="2"/>
      <c r="L17" s="1" t="s">
        <v>9</v>
      </c>
    </row>
    <row r="18" spans="1:12" s="10" customFormat="1">
      <c r="A18" s="1">
        <v>16</v>
      </c>
      <c r="B18" s="48"/>
      <c r="C18" s="14" t="s">
        <v>220</v>
      </c>
      <c r="D18" s="14" t="s">
        <v>578</v>
      </c>
      <c r="E18" s="14" t="s">
        <v>72</v>
      </c>
      <c r="F18" s="5">
        <v>1</v>
      </c>
      <c r="G18" s="2" t="s">
        <v>73</v>
      </c>
      <c r="H18" s="2">
        <v>46</v>
      </c>
      <c r="I18" s="2"/>
      <c r="J18" s="2">
        <v>60</v>
      </c>
      <c r="K18" s="2"/>
      <c r="L18" s="2" t="s">
        <v>9</v>
      </c>
    </row>
    <row r="19" spans="1:12" s="72" customFormat="1">
      <c r="A19" s="67">
        <v>17</v>
      </c>
      <c r="B19" s="68" t="s">
        <v>289</v>
      </c>
      <c r="C19" s="69" t="s">
        <v>171</v>
      </c>
      <c r="D19" s="70" t="s">
        <v>35</v>
      </c>
      <c r="E19" s="70" t="s">
        <v>21</v>
      </c>
      <c r="F19" s="71">
        <v>1</v>
      </c>
      <c r="G19" s="67" t="s">
        <v>89</v>
      </c>
      <c r="H19" s="67">
        <v>4</v>
      </c>
      <c r="I19" s="67"/>
      <c r="J19" s="67"/>
      <c r="K19" s="67"/>
      <c r="L19" s="67" t="s">
        <v>9</v>
      </c>
    </row>
    <row r="20" spans="1:12">
      <c r="A20" s="1">
        <v>18</v>
      </c>
      <c r="B20" s="29"/>
      <c r="C20" s="12" t="s">
        <v>171</v>
      </c>
      <c r="D20" s="29" t="s">
        <v>35</v>
      </c>
      <c r="E20" s="29" t="s">
        <v>72</v>
      </c>
      <c r="F20" s="5">
        <v>1</v>
      </c>
      <c r="G20" s="2" t="s">
        <v>73</v>
      </c>
      <c r="H20" s="2">
        <v>4</v>
      </c>
      <c r="I20" s="2"/>
      <c r="J20" s="2"/>
      <c r="K20" s="2"/>
      <c r="L20" s="1" t="s">
        <v>9</v>
      </c>
    </row>
    <row r="21" spans="1:12">
      <c r="A21" s="1">
        <v>19</v>
      </c>
      <c r="B21" s="37" t="s">
        <v>294</v>
      </c>
      <c r="C21" s="12" t="s">
        <v>171</v>
      </c>
      <c r="D21" s="29" t="s">
        <v>180</v>
      </c>
      <c r="E21" s="29" t="s">
        <v>21</v>
      </c>
      <c r="F21" s="5">
        <v>1</v>
      </c>
      <c r="G21" s="2" t="s">
        <v>88</v>
      </c>
      <c r="H21" s="2">
        <v>1</v>
      </c>
      <c r="I21" s="2"/>
      <c r="J21" s="2"/>
      <c r="K21" s="2"/>
      <c r="L21" s="1" t="s">
        <v>9</v>
      </c>
    </row>
    <row r="22" spans="1:12">
      <c r="A22" s="1">
        <v>20</v>
      </c>
      <c r="B22" s="37" t="s">
        <v>294</v>
      </c>
      <c r="C22" s="12" t="s">
        <v>171</v>
      </c>
      <c r="D22" s="29" t="s">
        <v>181</v>
      </c>
      <c r="E22" s="29" t="s">
        <v>21</v>
      </c>
      <c r="F22" s="5">
        <v>1</v>
      </c>
      <c r="G22" s="2" t="s">
        <v>88</v>
      </c>
      <c r="H22" s="2">
        <v>1</v>
      </c>
      <c r="I22" s="2"/>
      <c r="J22" s="2"/>
      <c r="K22" s="2"/>
      <c r="L22" s="1" t="s">
        <v>9</v>
      </c>
    </row>
    <row r="23" spans="1:12">
      <c r="A23" s="1">
        <v>21</v>
      </c>
      <c r="B23" s="37" t="s">
        <v>283</v>
      </c>
      <c r="C23" s="12" t="s">
        <v>171</v>
      </c>
      <c r="D23" s="29" t="s">
        <v>57</v>
      </c>
      <c r="E23" s="29" t="s">
        <v>21</v>
      </c>
      <c r="F23" s="5">
        <v>1</v>
      </c>
      <c r="G23" s="2" t="s">
        <v>511</v>
      </c>
      <c r="H23" s="2">
        <v>2</v>
      </c>
      <c r="I23" s="2"/>
      <c r="J23" s="2"/>
      <c r="K23" s="2"/>
      <c r="L23" s="1" t="s">
        <v>9</v>
      </c>
    </row>
    <row r="24" spans="1:12">
      <c r="A24" s="1">
        <v>22</v>
      </c>
      <c r="B24" s="29"/>
      <c r="C24" s="12" t="s">
        <v>171</v>
      </c>
      <c r="D24" s="29" t="s">
        <v>57</v>
      </c>
      <c r="E24" s="29" t="s">
        <v>72</v>
      </c>
      <c r="F24" s="5">
        <v>1</v>
      </c>
      <c r="G24" s="2" t="s">
        <v>73</v>
      </c>
      <c r="H24" s="2">
        <v>1</v>
      </c>
      <c r="I24" s="2"/>
      <c r="J24" s="2"/>
      <c r="K24" s="2"/>
      <c r="L24" s="1" t="s">
        <v>9</v>
      </c>
    </row>
    <row r="25" spans="1:12">
      <c r="A25" s="1">
        <v>23</v>
      </c>
      <c r="B25" s="37" t="s">
        <v>285</v>
      </c>
      <c r="C25" s="12" t="s">
        <v>171</v>
      </c>
      <c r="D25" s="29" t="s">
        <v>36</v>
      </c>
      <c r="E25" s="29" t="s">
        <v>21</v>
      </c>
      <c r="F25" s="5">
        <v>1</v>
      </c>
      <c r="G25" s="2" t="s">
        <v>554</v>
      </c>
      <c r="H25" s="2">
        <v>2</v>
      </c>
      <c r="I25" s="2"/>
      <c r="J25" s="2"/>
      <c r="K25" s="2"/>
      <c r="L25" s="1" t="s">
        <v>9</v>
      </c>
    </row>
    <row r="26" spans="1:12">
      <c r="A26" s="1">
        <v>24</v>
      </c>
      <c r="B26" s="37" t="s">
        <v>561</v>
      </c>
      <c r="C26" s="12" t="s">
        <v>171</v>
      </c>
      <c r="D26" s="29" t="s">
        <v>37</v>
      </c>
      <c r="E26" s="29" t="s">
        <v>21</v>
      </c>
      <c r="F26" s="5">
        <v>1</v>
      </c>
      <c r="G26" s="2" t="s">
        <v>91</v>
      </c>
      <c r="H26" s="2">
        <v>2</v>
      </c>
      <c r="I26" s="2"/>
      <c r="J26" s="2"/>
      <c r="K26" s="2"/>
      <c r="L26" s="1" t="s">
        <v>9</v>
      </c>
    </row>
    <row r="27" spans="1:12">
      <c r="A27" s="1">
        <v>25</v>
      </c>
      <c r="B27" s="37" t="s">
        <v>291</v>
      </c>
      <c r="C27" s="12" t="s">
        <v>171</v>
      </c>
      <c r="D27" s="29" t="s">
        <v>38</v>
      </c>
      <c r="E27" s="29" t="s">
        <v>21</v>
      </c>
      <c r="F27" s="5">
        <v>1</v>
      </c>
      <c r="G27" s="2" t="s">
        <v>524</v>
      </c>
      <c r="H27" s="2">
        <v>1</v>
      </c>
      <c r="I27" s="2"/>
      <c r="J27" s="2"/>
      <c r="K27" s="2"/>
      <c r="L27" s="1" t="s">
        <v>9</v>
      </c>
    </row>
    <row r="28" spans="1:12">
      <c r="A28" s="1">
        <v>26</v>
      </c>
      <c r="B28" s="37" t="s">
        <v>292</v>
      </c>
      <c r="C28" s="12" t="s">
        <v>171</v>
      </c>
      <c r="D28" s="29" t="s">
        <v>39</v>
      </c>
      <c r="E28" s="29" t="s">
        <v>19</v>
      </c>
      <c r="F28" s="5">
        <v>1</v>
      </c>
      <c r="G28" s="2" t="s">
        <v>570</v>
      </c>
      <c r="H28" s="2">
        <v>1</v>
      </c>
      <c r="I28" s="2"/>
      <c r="J28" s="2"/>
      <c r="K28" s="2"/>
      <c r="L28" s="1" t="s">
        <v>9</v>
      </c>
    </row>
    <row r="29" spans="1:12">
      <c r="A29" s="1">
        <v>27</v>
      </c>
      <c r="B29" s="37" t="s">
        <v>287</v>
      </c>
      <c r="C29" s="12" t="s">
        <v>171</v>
      </c>
      <c r="D29" s="29" t="s">
        <v>182</v>
      </c>
      <c r="E29" s="29" t="s">
        <v>21</v>
      </c>
      <c r="F29" s="5">
        <v>2</v>
      </c>
      <c r="G29" s="2" t="s">
        <v>56</v>
      </c>
      <c r="H29" s="2">
        <v>12</v>
      </c>
      <c r="I29" s="2"/>
      <c r="J29" s="2"/>
      <c r="K29" s="2"/>
      <c r="L29" s="1" t="s">
        <v>9</v>
      </c>
    </row>
    <row r="30" spans="1:12">
      <c r="A30" s="1">
        <v>28</v>
      </c>
      <c r="B30" s="37" t="s">
        <v>287</v>
      </c>
      <c r="C30" s="12" t="s">
        <v>171</v>
      </c>
      <c r="D30" s="29" t="s">
        <v>183</v>
      </c>
      <c r="E30" s="29" t="s">
        <v>21</v>
      </c>
      <c r="F30" s="5">
        <v>2</v>
      </c>
      <c r="G30" s="2" t="s">
        <v>56</v>
      </c>
      <c r="H30" s="2">
        <v>8</v>
      </c>
      <c r="I30" s="2"/>
      <c r="J30" s="2"/>
      <c r="K30" s="2"/>
      <c r="L30" s="1" t="s">
        <v>9</v>
      </c>
    </row>
    <row r="31" spans="1:12">
      <c r="A31" s="1">
        <v>29</v>
      </c>
      <c r="B31" s="37" t="s">
        <v>287</v>
      </c>
      <c r="C31" s="12" t="s">
        <v>171</v>
      </c>
      <c r="D31" s="29" t="s">
        <v>184</v>
      </c>
      <c r="E31" s="29" t="s">
        <v>21</v>
      </c>
      <c r="F31" s="5">
        <v>2</v>
      </c>
      <c r="G31" s="2" t="s">
        <v>56</v>
      </c>
      <c r="H31" s="2">
        <v>8</v>
      </c>
      <c r="I31" s="2"/>
      <c r="J31" s="2"/>
      <c r="K31" s="2"/>
      <c r="L31" s="1" t="s">
        <v>9</v>
      </c>
    </row>
    <row r="32" spans="1:12">
      <c r="A32" s="1">
        <v>30</v>
      </c>
      <c r="B32" s="37" t="s">
        <v>287</v>
      </c>
      <c r="C32" s="12" t="s">
        <v>171</v>
      </c>
      <c r="D32" s="29" t="s">
        <v>185</v>
      </c>
      <c r="E32" s="29" t="s">
        <v>21</v>
      </c>
      <c r="F32" s="5">
        <v>2</v>
      </c>
      <c r="G32" s="2" t="s">
        <v>56</v>
      </c>
      <c r="H32" s="2">
        <v>12</v>
      </c>
      <c r="I32" s="2"/>
      <c r="J32" s="2"/>
      <c r="K32" s="2"/>
      <c r="L32" s="1" t="s">
        <v>9</v>
      </c>
    </row>
    <row r="33" spans="1:12">
      <c r="A33" s="1">
        <v>31</v>
      </c>
      <c r="B33" s="37" t="s">
        <v>287</v>
      </c>
      <c r="C33" s="12" t="s">
        <v>171</v>
      </c>
      <c r="D33" s="29" t="s">
        <v>186</v>
      </c>
      <c r="E33" s="29" t="s">
        <v>21</v>
      </c>
      <c r="F33" s="5">
        <v>2</v>
      </c>
      <c r="G33" s="2" t="s">
        <v>56</v>
      </c>
      <c r="H33" s="2">
        <v>24</v>
      </c>
      <c r="I33" s="2"/>
      <c r="J33" s="2"/>
      <c r="K33" s="2"/>
      <c r="L33" s="1" t="s">
        <v>9</v>
      </c>
    </row>
    <row r="34" spans="1:12">
      <c r="A34" s="1">
        <v>32</v>
      </c>
      <c r="B34" s="37" t="s">
        <v>287</v>
      </c>
      <c r="C34" s="12" t="s">
        <v>171</v>
      </c>
      <c r="D34" s="29" t="s">
        <v>187</v>
      </c>
      <c r="E34" s="29" t="s">
        <v>21</v>
      </c>
      <c r="F34" s="5">
        <v>2</v>
      </c>
      <c r="G34" s="2" t="s">
        <v>56</v>
      </c>
      <c r="H34" s="2">
        <v>24</v>
      </c>
      <c r="I34" s="2"/>
      <c r="J34" s="2"/>
      <c r="K34" s="2"/>
      <c r="L34" s="1" t="s">
        <v>9</v>
      </c>
    </row>
    <row r="35" spans="1:12">
      <c r="A35" s="1">
        <v>33</v>
      </c>
      <c r="B35" s="37" t="s">
        <v>287</v>
      </c>
      <c r="C35" s="12" t="s">
        <v>171</v>
      </c>
      <c r="D35" s="29" t="s">
        <v>188</v>
      </c>
      <c r="E35" s="29" t="s">
        <v>21</v>
      </c>
      <c r="F35" s="5">
        <v>2</v>
      </c>
      <c r="G35" s="2" t="s">
        <v>56</v>
      </c>
      <c r="H35" s="2">
        <v>28</v>
      </c>
      <c r="I35" s="2"/>
      <c r="J35" s="2"/>
      <c r="K35" s="2"/>
      <c r="L35" s="1" t="s">
        <v>9</v>
      </c>
    </row>
    <row r="36" spans="1:12" s="10" customFormat="1">
      <c r="A36" s="1">
        <v>34</v>
      </c>
      <c r="B36" s="48" t="s">
        <v>371</v>
      </c>
      <c r="C36" s="29" t="s">
        <v>171</v>
      </c>
      <c r="D36" s="29" t="s">
        <v>189</v>
      </c>
      <c r="E36" s="29" t="s">
        <v>21</v>
      </c>
      <c r="F36" s="5">
        <v>2</v>
      </c>
      <c r="G36" s="2" t="s">
        <v>91</v>
      </c>
      <c r="H36" s="2">
        <v>1</v>
      </c>
      <c r="I36" s="2"/>
      <c r="J36" s="2"/>
      <c r="K36" s="2"/>
      <c r="L36" s="2" t="s">
        <v>9</v>
      </c>
    </row>
    <row r="37" spans="1:12">
      <c r="A37" s="1">
        <v>35</v>
      </c>
      <c r="B37" s="37" t="s">
        <v>432</v>
      </c>
      <c r="C37" s="12" t="s">
        <v>171</v>
      </c>
      <c r="D37" s="29" t="s">
        <v>34</v>
      </c>
      <c r="E37" s="29" t="s">
        <v>21</v>
      </c>
      <c r="F37" s="5">
        <v>2</v>
      </c>
      <c r="G37" s="2" t="s">
        <v>88</v>
      </c>
      <c r="H37" s="2">
        <v>4</v>
      </c>
      <c r="I37" s="2"/>
      <c r="J37" s="2"/>
      <c r="K37" s="2"/>
      <c r="L37" s="1" t="s">
        <v>9</v>
      </c>
    </row>
    <row r="38" spans="1:12">
      <c r="A38" s="1">
        <v>36</v>
      </c>
      <c r="B38" s="37" t="s">
        <v>371</v>
      </c>
      <c r="C38" s="12" t="s">
        <v>171</v>
      </c>
      <c r="D38" s="29" t="s">
        <v>109</v>
      </c>
      <c r="E38" s="29" t="s">
        <v>21</v>
      </c>
      <c r="F38" s="5">
        <v>2</v>
      </c>
      <c r="G38" s="2" t="s">
        <v>91</v>
      </c>
      <c r="H38" s="2">
        <v>4</v>
      </c>
      <c r="I38" s="2"/>
      <c r="J38" s="2"/>
      <c r="K38" s="2"/>
      <c r="L38" s="1" t="s">
        <v>9</v>
      </c>
    </row>
    <row r="39" spans="1:12">
      <c r="A39" s="1">
        <v>37</v>
      </c>
      <c r="B39" s="37" t="s">
        <v>371</v>
      </c>
      <c r="C39" s="12" t="s">
        <v>171</v>
      </c>
      <c r="D39" s="29" t="s">
        <v>190</v>
      </c>
      <c r="E39" s="29" t="s">
        <v>21</v>
      </c>
      <c r="F39" s="5">
        <v>2</v>
      </c>
      <c r="G39" s="2" t="s">
        <v>91</v>
      </c>
      <c r="H39" s="2">
        <v>16</v>
      </c>
      <c r="I39" s="2"/>
      <c r="J39" s="2"/>
      <c r="K39" s="2"/>
      <c r="L39" s="1" t="s">
        <v>9</v>
      </c>
    </row>
    <row r="40" spans="1:12">
      <c r="A40" s="1">
        <v>38</v>
      </c>
      <c r="B40" s="37" t="s">
        <v>371</v>
      </c>
      <c r="C40" s="12" t="s">
        <v>171</v>
      </c>
      <c r="D40" s="29" t="s">
        <v>191</v>
      </c>
      <c r="E40" s="29" t="s">
        <v>21</v>
      </c>
      <c r="F40" s="5">
        <v>2</v>
      </c>
      <c r="G40" s="2" t="s">
        <v>91</v>
      </c>
      <c r="H40" s="2">
        <v>2</v>
      </c>
      <c r="I40" s="2"/>
      <c r="J40" s="2"/>
      <c r="K40" s="2"/>
      <c r="L40" s="1" t="s">
        <v>9</v>
      </c>
    </row>
    <row r="41" spans="1:12">
      <c r="A41" s="1">
        <v>39</v>
      </c>
      <c r="B41" s="37" t="s">
        <v>562</v>
      </c>
      <c r="C41" s="12" t="s">
        <v>171</v>
      </c>
      <c r="D41" s="29" t="s">
        <v>192</v>
      </c>
      <c r="E41" s="29" t="s">
        <v>21</v>
      </c>
      <c r="F41" s="5">
        <v>3</v>
      </c>
      <c r="G41" s="2" t="s">
        <v>556</v>
      </c>
      <c r="H41" s="2">
        <v>12</v>
      </c>
      <c r="I41" s="2"/>
      <c r="J41" s="2"/>
      <c r="K41" s="2"/>
      <c r="L41" s="1" t="s">
        <v>9</v>
      </c>
    </row>
    <row r="42" spans="1:12">
      <c r="A42" s="1">
        <v>40</v>
      </c>
      <c r="B42" s="37" t="s">
        <v>563</v>
      </c>
      <c r="C42" s="12" t="s">
        <v>171</v>
      </c>
      <c r="D42" s="29" t="s">
        <v>193</v>
      </c>
      <c r="E42" s="29" t="s">
        <v>21</v>
      </c>
      <c r="F42" s="5">
        <v>3</v>
      </c>
      <c r="G42" s="2" t="s">
        <v>556</v>
      </c>
      <c r="H42" s="2">
        <v>9</v>
      </c>
      <c r="I42" s="2"/>
      <c r="J42" s="2"/>
      <c r="K42" s="2"/>
      <c r="L42" s="1" t="s">
        <v>9</v>
      </c>
    </row>
    <row r="43" spans="1:12">
      <c r="A43" s="1">
        <v>41</v>
      </c>
      <c r="B43" s="37" t="s">
        <v>563</v>
      </c>
      <c r="C43" s="12" t="s">
        <v>171</v>
      </c>
      <c r="D43" s="29" t="s">
        <v>194</v>
      </c>
      <c r="E43" s="29" t="s">
        <v>21</v>
      </c>
      <c r="F43" s="5">
        <v>3</v>
      </c>
      <c r="G43" s="2" t="s">
        <v>556</v>
      </c>
      <c r="H43" s="2">
        <v>3</v>
      </c>
      <c r="I43" s="2"/>
      <c r="J43" s="2"/>
      <c r="K43" s="2"/>
      <c r="L43" s="1" t="s">
        <v>9</v>
      </c>
    </row>
    <row r="44" spans="1:12">
      <c r="A44" s="1">
        <v>42</v>
      </c>
      <c r="B44" s="37" t="s">
        <v>282</v>
      </c>
      <c r="C44" s="12" t="s">
        <v>171</v>
      </c>
      <c r="D44" s="29" t="s">
        <v>58</v>
      </c>
      <c r="E44" s="12" t="s">
        <v>21</v>
      </c>
      <c r="F44" s="5">
        <v>1</v>
      </c>
      <c r="G44" s="2" t="s">
        <v>91</v>
      </c>
      <c r="H44" s="2">
        <v>1</v>
      </c>
      <c r="I44" s="2"/>
      <c r="J44" s="2"/>
      <c r="K44" s="2"/>
      <c r="L44" s="1" t="s">
        <v>9</v>
      </c>
    </row>
    <row r="45" spans="1:12">
      <c r="A45" s="1">
        <v>43</v>
      </c>
      <c r="B45" s="29"/>
      <c r="C45" s="12" t="s">
        <v>171</v>
      </c>
      <c r="D45" s="29" t="s">
        <v>58</v>
      </c>
      <c r="E45" s="12" t="s">
        <v>31</v>
      </c>
      <c r="F45" s="5">
        <v>1</v>
      </c>
      <c r="G45" s="2" t="s">
        <v>316</v>
      </c>
      <c r="H45" s="2">
        <v>3</v>
      </c>
      <c r="I45" s="2"/>
      <c r="J45" s="2"/>
      <c r="K45" s="2" t="s">
        <v>32</v>
      </c>
      <c r="L45" s="1" t="s">
        <v>9</v>
      </c>
    </row>
    <row r="46" spans="1:12">
      <c r="A46" s="1">
        <v>44</v>
      </c>
      <c r="B46" s="37" t="s">
        <v>282</v>
      </c>
      <c r="C46" s="12" t="s">
        <v>171</v>
      </c>
      <c r="D46" s="29" t="s">
        <v>59</v>
      </c>
      <c r="E46" s="12" t="s">
        <v>21</v>
      </c>
      <c r="F46" s="5">
        <v>1</v>
      </c>
      <c r="G46" s="2" t="s">
        <v>91</v>
      </c>
      <c r="H46" s="2">
        <v>1</v>
      </c>
      <c r="I46" s="2"/>
      <c r="J46" s="2"/>
      <c r="K46" s="2"/>
      <c r="L46" s="1" t="s">
        <v>9</v>
      </c>
    </row>
    <row r="47" spans="1:12">
      <c r="A47" s="1">
        <v>45</v>
      </c>
      <c r="B47" s="29"/>
      <c r="C47" s="12" t="s">
        <v>171</v>
      </c>
      <c r="D47" s="29" t="s">
        <v>59</v>
      </c>
      <c r="E47" s="12" t="s">
        <v>31</v>
      </c>
      <c r="F47" s="5">
        <v>1</v>
      </c>
      <c r="G47" s="2" t="s">
        <v>316</v>
      </c>
      <c r="H47" s="2">
        <v>2</v>
      </c>
      <c r="I47" s="2"/>
      <c r="J47" s="2"/>
      <c r="K47" s="2" t="s">
        <v>32</v>
      </c>
      <c r="L47" s="1" t="s">
        <v>9</v>
      </c>
    </row>
    <row r="48" spans="1:12">
      <c r="A48" s="1">
        <v>46</v>
      </c>
      <c r="B48" s="37" t="s">
        <v>284</v>
      </c>
      <c r="C48" s="12" t="s">
        <v>171</v>
      </c>
      <c r="D48" s="29" t="s">
        <v>61</v>
      </c>
      <c r="E48" s="12" t="s">
        <v>19</v>
      </c>
      <c r="F48" s="5">
        <v>1</v>
      </c>
      <c r="G48" s="2" t="s">
        <v>506</v>
      </c>
      <c r="H48" s="2">
        <v>1</v>
      </c>
      <c r="I48" s="2"/>
      <c r="J48" s="2"/>
      <c r="K48" s="2"/>
      <c r="L48" s="1" t="s">
        <v>9</v>
      </c>
    </row>
    <row r="49" spans="1:12">
      <c r="A49" s="1">
        <v>47</v>
      </c>
      <c r="B49" s="37" t="s">
        <v>283</v>
      </c>
      <c r="C49" s="12" t="s">
        <v>171</v>
      </c>
      <c r="D49" s="29" t="s">
        <v>45</v>
      </c>
      <c r="E49" s="29" t="s">
        <v>21</v>
      </c>
      <c r="F49" s="5">
        <v>1</v>
      </c>
      <c r="G49" s="2" t="s">
        <v>511</v>
      </c>
      <c r="H49" s="2">
        <v>4</v>
      </c>
      <c r="I49" s="2"/>
      <c r="J49" s="2"/>
      <c r="K49" s="2"/>
      <c r="L49" s="1" t="s">
        <v>9</v>
      </c>
    </row>
    <row r="50" spans="1:12">
      <c r="A50" s="1">
        <v>48</v>
      </c>
      <c r="B50" s="37" t="s">
        <v>285</v>
      </c>
      <c r="C50" s="12" t="s">
        <v>171</v>
      </c>
      <c r="D50" s="29" t="s">
        <v>46</v>
      </c>
      <c r="E50" s="29" t="s">
        <v>21</v>
      </c>
      <c r="F50" s="5">
        <v>1</v>
      </c>
      <c r="G50" s="2" t="s">
        <v>554</v>
      </c>
      <c r="H50" s="2">
        <v>2</v>
      </c>
      <c r="I50" s="2"/>
      <c r="J50" s="2"/>
      <c r="K50" s="2"/>
      <c r="L50" s="1" t="s">
        <v>9</v>
      </c>
    </row>
    <row r="51" spans="1:12">
      <c r="A51" s="1">
        <v>49</v>
      </c>
      <c r="B51" s="37" t="s">
        <v>282</v>
      </c>
      <c r="C51" s="12" t="s">
        <v>171</v>
      </c>
      <c r="D51" s="29" t="s">
        <v>195</v>
      </c>
      <c r="E51" s="12" t="s">
        <v>21</v>
      </c>
      <c r="F51" s="5">
        <v>1</v>
      </c>
      <c r="G51" s="2" t="s">
        <v>91</v>
      </c>
      <c r="H51" s="2">
        <v>1</v>
      </c>
      <c r="I51" s="2"/>
      <c r="J51" s="2"/>
      <c r="K51" s="2"/>
      <c r="L51" s="1" t="s">
        <v>9</v>
      </c>
    </row>
    <row r="52" spans="1:12" s="10" customFormat="1">
      <c r="A52" s="1">
        <v>50</v>
      </c>
      <c r="B52" s="37" t="s">
        <v>282</v>
      </c>
      <c r="C52" s="29" t="s">
        <v>171</v>
      </c>
      <c r="D52" s="29" t="s">
        <v>195</v>
      </c>
      <c r="E52" s="12" t="s">
        <v>21</v>
      </c>
      <c r="F52" s="5">
        <v>1</v>
      </c>
      <c r="G52" s="2" t="s">
        <v>91</v>
      </c>
      <c r="H52" s="2">
        <v>1</v>
      </c>
      <c r="I52" s="2"/>
      <c r="J52" s="2"/>
      <c r="K52" s="2"/>
      <c r="L52" s="1" t="s">
        <v>9</v>
      </c>
    </row>
    <row r="53" spans="1:12">
      <c r="A53" s="1">
        <v>51</v>
      </c>
      <c r="B53" s="37" t="s">
        <v>294</v>
      </c>
      <c r="C53" s="12" t="s">
        <v>171</v>
      </c>
      <c r="D53" s="29" t="s">
        <v>196</v>
      </c>
      <c r="E53" s="12" t="s">
        <v>21</v>
      </c>
      <c r="F53" s="5">
        <v>1</v>
      </c>
      <c r="G53" s="2" t="s">
        <v>88</v>
      </c>
      <c r="H53" s="2">
        <v>2</v>
      </c>
      <c r="I53" s="2"/>
      <c r="J53" s="2"/>
      <c r="K53" s="2"/>
      <c r="L53" s="1" t="s">
        <v>9</v>
      </c>
    </row>
    <row r="54" spans="1:12">
      <c r="A54" s="1">
        <v>52</v>
      </c>
      <c r="B54" s="37" t="s">
        <v>294</v>
      </c>
      <c r="C54" s="12" t="s">
        <v>171</v>
      </c>
      <c r="D54" s="29" t="s">
        <v>197</v>
      </c>
      <c r="E54" s="12" t="s">
        <v>21</v>
      </c>
      <c r="F54" s="5">
        <v>1</v>
      </c>
      <c r="G54" s="2" t="s">
        <v>88</v>
      </c>
      <c r="H54" s="2">
        <v>1</v>
      </c>
      <c r="I54" s="2"/>
      <c r="J54" s="2"/>
      <c r="K54" s="2"/>
      <c r="L54" s="1" t="s">
        <v>9</v>
      </c>
    </row>
    <row r="55" spans="1:12">
      <c r="A55" s="1">
        <v>53</v>
      </c>
      <c r="B55" s="37" t="s">
        <v>294</v>
      </c>
      <c r="C55" s="12" t="s">
        <v>171</v>
      </c>
      <c r="D55" s="29" t="s">
        <v>198</v>
      </c>
      <c r="E55" s="12" t="s">
        <v>21</v>
      </c>
      <c r="F55" s="5">
        <v>1</v>
      </c>
      <c r="G55" s="2" t="s">
        <v>88</v>
      </c>
      <c r="H55" s="2">
        <v>2</v>
      </c>
      <c r="I55" s="2"/>
      <c r="J55" s="2"/>
      <c r="K55" s="2"/>
      <c r="L55" s="1" t="s">
        <v>9</v>
      </c>
    </row>
    <row r="56" spans="1:12">
      <c r="A56" s="1">
        <v>54</v>
      </c>
      <c r="B56" s="37" t="s">
        <v>290</v>
      </c>
      <c r="C56" s="12" t="s">
        <v>171</v>
      </c>
      <c r="D56" s="29" t="s">
        <v>199</v>
      </c>
      <c r="E56" s="12" t="s">
        <v>21</v>
      </c>
      <c r="F56" s="5">
        <v>1</v>
      </c>
      <c r="G56" s="2" t="s">
        <v>89</v>
      </c>
      <c r="H56" s="2">
        <v>291</v>
      </c>
      <c r="I56" s="2"/>
      <c r="J56" s="2"/>
      <c r="K56" s="2"/>
      <c r="L56" s="1" t="s">
        <v>9</v>
      </c>
    </row>
    <row r="57" spans="1:12">
      <c r="A57" s="1">
        <v>55</v>
      </c>
      <c r="B57" s="29"/>
      <c r="C57" s="12" t="s">
        <v>171</v>
      </c>
      <c r="D57" s="29" t="s">
        <v>199</v>
      </c>
      <c r="E57" s="12" t="s">
        <v>217</v>
      </c>
      <c r="F57" s="5">
        <v>1</v>
      </c>
      <c r="G57" s="2" t="s">
        <v>73</v>
      </c>
      <c r="H57" s="2">
        <v>98</v>
      </c>
      <c r="I57" s="2"/>
      <c r="J57" s="2"/>
      <c r="K57" s="2"/>
      <c r="L57" s="1" t="s">
        <v>9</v>
      </c>
    </row>
    <row r="58" spans="1:12">
      <c r="A58" s="1">
        <v>56</v>
      </c>
      <c r="B58" s="37" t="s">
        <v>294</v>
      </c>
      <c r="C58" s="12" t="s">
        <v>171</v>
      </c>
      <c r="D58" s="29" t="s">
        <v>149</v>
      </c>
      <c r="E58" s="12" t="s">
        <v>21</v>
      </c>
      <c r="F58" s="5">
        <v>1</v>
      </c>
      <c r="G58" s="2" t="s">
        <v>88</v>
      </c>
      <c r="H58" s="2">
        <v>2</v>
      </c>
      <c r="I58" s="2"/>
      <c r="J58" s="2"/>
      <c r="K58" s="2"/>
      <c r="L58" s="1" t="s">
        <v>9</v>
      </c>
    </row>
    <row r="59" spans="1:12">
      <c r="A59" s="1">
        <v>57</v>
      </c>
      <c r="B59" s="37" t="s">
        <v>294</v>
      </c>
      <c r="C59" s="12" t="s">
        <v>171</v>
      </c>
      <c r="D59" s="29" t="s">
        <v>200</v>
      </c>
      <c r="E59" s="12" t="s">
        <v>21</v>
      </c>
      <c r="F59" s="5">
        <v>1</v>
      </c>
      <c r="G59" s="2" t="s">
        <v>88</v>
      </c>
      <c r="H59" s="2">
        <v>1</v>
      </c>
      <c r="I59" s="2"/>
      <c r="J59" s="2"/>
      <c r="K59" s="2"/>
      <c r="L59" s="1" t="s">
        <v>9</v>
      </c>
    </row>
    <row r="60" spans="1:12">
      <c r="A60" s="1">
        <v>58</v>
      </c>
      <c r="B60" s="37" t="s">
        <v>564</v>
      </c>
      <c r="C60" s="12" t="s">
        <v>171</v>
      </c>
      <c r="D60" s="29" t="s">
        <v>201</v>
      </c>
      <c r="E60" s="29" t="s">
        <v>21</v>
      </c>
      <c r="F60" s="5">
        <v>1</v>
      </c>
      <c r="G60" s="2" t="s">
        <v>91</v>
      </c>
      <c r="H60" s="2">
        <v>6</v>
      </c>
      <c r="I60" s="2"/>
      <c r="J60" s="2"/>
      <c r="K60" s="2"/>
      <c r="L60" s="1" t="s">
        <v>9</v>
      </c>
    </row>
    <row r="61" spans="1:12">
      <c r="A61" s="1">
        <v>59</v>
      </c>
      <c r="B61" s="37" t="s">
        <v>282</v>
      </c>
      <c r="C61" s="12" t="s">
        <v>171</v>
      </c>
      <c r="D61" s="12" t="s">
        <v>202</v>
      </c>
      <c r="E61" s="29" t="s">
        <v>21</v>
      </c>
      <c r="F61" s="4">
        <v>1</v>
      </c>
      <c r="G61" s="1" t="s">
        <v>91</v>
      </c>
      <c r="H61" s="1">
        <v>2</v>
      </c>
      <c r="I61" s="1"/>
      <c r="J61" s="1"/>
      <c r="K61" s="1"/>
      <c r="L61" s="1" t="s">
        <v>9</v>
      </c>
    </row>
    <row r="62" spans="1:12">
      <c r="A62" s="1">
        <v>60</v>
      </c>
      <c r="B62" s="37" t="s">
        <v>291</v>
      </c>
      <c r="C62" s="12" t="s">
        <v>171</v>
      </c>
      <c r="D62" s="12" t="s">
        <v>64</v>
      </c>
      <c r="E62" s="12" t="s">
        <v>21</v>
      </c>
      <c r="F62" s="4">
        <v>1</v>
      </c>
      <c r="G62" s="2" t="s">
        <v>524</v>
      </c>
      <c r="H62" s="1">
        <v>1</v>
      </c>
      <c r="I62" s="1"/>
      <c r="J62" s="1"/>
      <c r="K62" s="2"/>
      <c r="L62" s="1" t="s">
        <v>9</v>
      </c>
    </row>
    <row r="63" spans="1:12">
      <c r="A63" s="1">
        <v>61</v>
      </c>
      <c r="B63" s="37" t="s">
        <v>283</v>
      </c>
      <c r="C63" s="12" t="s">
        <v>171</v>
      </c>
      <c r="D63" s="12" t="s">
        <v>65</v>
      </c>
      <c r="E63" s="29" t="s">
        <v>21</v>
      </c>
      <c r="F63" s="4">
        <v>1</v>
      </c>
      <c r="G63" s="1" t="s">
        <v>511</v>
      </c>
      <c r="H63" s="1">
        <v>2</v>
      </c>
      <c r="I63" s="1"/>
      <c r="J63" s="1"/>
      <c r="K63" s="1"/>
      <c r="L63" s="1" t="s">
        <v>9</v>
      </c>
    </row>
    <row r="64" spans="1:12">
      <c r="A64" s="1">
        <v>62</v>
      </c>
      <c r="B64" s="19"/>
      <c r="C64" s="12" t="s">
        <v>171</v>
      </c>
      <c r="D64" s="12" t="s">
        <v>65</v>
      </c>
      <c r="E64" s="29" t="s">
        <v>72</v>
      </c>
      <c r="F64" s="4">
        <v>1</v>
      </c>
      <c r="G64" s="1" t="s">
        <v>73</v>
      </c>
      <c r="H64" s="1">
        <v>1</v>
      </c>
      <c r="I64" s="1"/>
      <c r="J64" s="1"/>
      <c r="K64" s="1"/>
      <c r="L64" s="1" t="s">
        <v>9</v>
      </c>
    </row>
    <row r="65" spans="1:12">
      <c r="A65" s="1">
        <v>63</v>
      </c>
      <c r="B65" s="37" t="s">
        <v>292</v>
      </c>
      <c r="C65" s="12" t="s">
        <v>171</v>
      </c>
      <c r="D65" s="12" t="s">
        <v>49</v>
      </c>
      <c r="E65" s="29" t="s">
        <v>19</v>
      </c>
      <c r="F65" s="5">
        <v>1</v>
      </c>
      <c r="G65" s="2" t="s">
        <v>570</v>
      </c>
      <c r="H65" s="2">
        <v>1</v>
      </c>
      <c r="I65" s="2"/>
      <c r="J65" s="2"/>
      <c r="K65" s="2"/>
      <c r="L65" s="1" t="s">
        <v>9</v>
      </c>
    </row>
    <row r="66" spans="1:12">
      <c r="A66" s="1">
        <v>64</v>
      </c>
      <c r="B66" s="37" t="s">
        <v>285</v>
      </c>
      <c r="C66" s="12" t="s">
        <v>171</v>
      </c>
      <c r="D66" s="12" t="s">
        <v>50</v>
      </c>
      <c r="E66" s="12" t="s">
        <v>21</v>
      </c>
      <c r="F66" s="4">
        <v>1</v>
      </c>
      <c r="G66" s="1" t="s">
        <v>554</v>
      </c>
      <c r="H66" s="1">
        <v>2</v>
      </c>
      <c r="I66" s="1"/>
      <c r="J66" s="1"/>
      <c r="K66" s="1"/>
      <c r="L66" s="1" t="s">
        <v>9</v>
      </c>
    </row>
    <row r="67" spans="1:12">
      <c r="A67" s="1">
        <v>65</v>
      </c>
      <c r="B67" s="37" t="s">
        <v>295</v>
      </c>
      <c r="C67" s="12" t="s">
        <v>171</v>
      </c>
      <c r="D67" s="12" t="s">
        <v>203</v>
      </c>
      <c r="E67" s="12" t="s">
        <v>21</v>
      </c>
      <c r="F67" s="5">
        <v>2</v>
      </c>
      <c r="G67" s="1" t="s">
        <v>509</v>
      </c>
      <c r="H67" s="1">
        <v>2</v>
      </c>
      <c r="I67" s="1"/>
      <c r="J67" s="1"/>
      <c r="K67" s="1"/>
      <c r="L67" s="1" t="s">
        <v>9</v>
      </c>
    </row>
    <row r="68" spans="1:12">
      <c r="A68" s="1">
        <v>66</v>
      </c>
      <c r="B68" s="37" t="s">
        <v>565</v>
      </c>
      <c r="C68" s="12" t="s">
        <v>171</v>
      </c>
      <c r="D68" s="12" t="s">
        <v>203</v>
      </c>
      <c r="E68" s="12" t="s">
        <v>164</v>
      </c>
      <c r="F68" s="5">
        <v>1</v>
      </c>
      <c r="G68" s="1" t="s">
        <v>571</v>
      </c>
      <c r="H68" s="1">
        <v>1</v>
      </c>
      <c r="I68" s="1"/>
      <c r="J68" s="1"/>
      <c r="K68" s="1"/>
      <c r="L68" s="1" t="s">
        <v>9</v>
      </c>
    </row>
    <row r="69" spans="1:12">
      <c r="A69" s="1">
        <v>67</v>
      </c>
      <c r="B69" s="37" t="s">
        <v>295</v>
      </c>
      <c r="C69" s="12" t="s">
        <v>171</v>
      </c>
      <c r="D69" s="12" t="s">
        <v>204</v>
      </c>
      <c r="E69" s="12" t="s">
        <v>21</v>
      </c>
      <c r="F69" s="4">
        <v>2</v>
      </c>
      <c r="G69" s="1" t="s">
        <v>509</v>
      </c>
      <c r="H69" s="1">
        <v>3</v>
      </c>
      <c r="I69" s="1"/>
      <c r="J69" s="1"/>
      <c r="K69" s="1"/>
      <c r="L69" s="1" t="s">
        <v>9</v>
      </c>
    </row>
    <row r="70" spans="1:12">
      <c r="A70" s="1">
        <v>68</v>
      </c>
      <c r="B70" s="37" t="s">
        <v>283</v>
      </c>
      <c r="C70" s="12" t="s">
        <v>171</v>
      </c>
      <c r="D70" s="12" t="s">
        <v>204</v>
      </c>
      <c r="E70" s="12" t="s">
        <v>21</v>
      </c>
      <c r="F70" s="4">
        <v>1</v>
      </c>
      <c r="G70" s="1" t="s">
        <v>511</v>
      </c>
      <c r="H70" s="1">
        <v>1</v>
      </c>
      <c r="I70" s="1"/>
      <c r="J70" s="1"/>
      <c r="K70" s="1"/>
      <c r="L70" s="1" t="s">
        <v>9</v>
      </c>
    </row>
    <row r="71" spans="1:12">
      <c r="A71" s="1">
        <v>69</v>
      </c>
      <c r="B71" s="37" t="s">
        <v>287</v>
      </c>
      <c r="C71" s="12" t="s">
        <v>171</v>
      </c>
      <c r="D71" s="29" t="s">
        <v>205</v>
      </c>
      <c r="E71" s="12" t="s">
        <v>21</v>
      </c>
      <c r="F71" s="5">
        <v>2</v>
      </c>
      <c r="G71" s="2" t="s">
        <v>56</v>
      </c>
      <c r="H71" s="1">
        <v>24</v>
      </c>
      <c r="I71" s="1"/>
      <c r="J71" s="1"/>
      <c r="K71" s="1"/>
      <c r="L71" s="1" t="s">
        <v>9</v>
      </c>
    </row>
    <row r="72" spans="1:12">
      <c r="A72" s="1">
        <v>70</v>
      </c>
      <c r="B72" s="37" t="s">
        <v>287</v>
      </c>
      <c r="C72" s="12" t="s">
        <v>171</v>
      </c>
      <c r="D72" s="29" t="s">
        <v>206</v>
      </c>
      <c r="E72" s="12" t="s">
        <v>21</v>
      </c>
      <c r="F72" s="5">
        <v>2</v>
      </c>
      <c r="G72" s="2" t="s">
        <v>56</v>
      </c>
      <c r="H72" s="1">
        <v>8</v>
      </c>
      <c r="I72" s="1"/>
      <c r="J72" s="1"/>
      <c r="K72" s="1"/>
      <c r="L72" s="1" t="s">
        <v>9</v>
      </c>
    </row>
    <row r="73" spans="1:12">
      <c r="A73" s="1">
        <v>71</v>
      </c>
      <c r="B73" s="37" t="s">
        <v>287</v>
      </c>
      <c r="C73" s="12" t="s">
        <v>171</v>
      </c>
      <c r="D73" s="29" t="s">
        <v>207</v>
      </c>
      <c r="E73" s="12" t="s">
        <v>21</v>
      </c>
      <c r="F73" s="5">
        <v>2</v>
      </c>
      <c r="G73" s="2" t="s">
        <v>56</v>
      </c>
      <c r="H73" s="1">
        <v>8</v>
      </c>
      <c r="I73" s="1"/>
      <c r="J73" s="1"/>
      <c r="K73" s="2"/>
      <c r="L73" s="1" t="s">
        <v>9</v>
      </c>
    </row>
    <row r="74" spans="1:12">
      <c r="A74" s="1">
        <v>72</v>
      </c>
      <c r="B74" s="37" t="s">
        <v>289</v>
      </c>
      <c r="C74" s="12" t="s">
        <v>171</v>
      </c>
      <c r="D74" s="29" t="s">
        <v>208</v>
      </c>
      <c r="E74" s="12" t="s">
        <v>21</v>
      </c>
      <c r="F74" s="4">
        <v>1</v>
      </c>
      <c r="G74" s="1" t="s">
        <v>89</v>
      </c>
      <c r="H74" s="1">
        <v>24</v>
      </c>
      <c r="I74" s="1"/>
      <c r="J74" s="1"/>
      <c r="K74" s="1"/>
      <c r="L74" s="1" t="s">
        <v>9</v>
      </c>
    </row>
    <row r="75" spans="1:12">
      <c r="A75" s="1">
        <v>73</v>
      </c>
      <c r="B75" s="37" t="s">
        <v>290</v>
      </c>
      <c r="C75" s="12" t="s">
        <v>171</v>
      </c>
      <c r="D75" s="29" t="s">
        <v>208</v>
      </c>
      <c r="E75" s="12" t="s">
        <v>21</v>
      </c>
      <c r="F75" s="4">
        <v>1</v>
      </c>
      <c r="G75" s="1" t="s">
        <v>89</v>
      </c>
      <c r="H75" s="1">
        <v>3</v>
      </c>
      <c r="I75" s="1"/>
      <c r="J75" s="1"/>
      <c r="K75" s="2"/>
      <c r="L75" s="1" t="s">
        <v>9</v>
      </c>
    </row>
    <row r="76" spans="1:12">
      <c r="A76" s="1">
        <v>74</v>
      </c>
      <c r="B76" s="19"/>
      <c r="C76" s="12" t="s">
        <v>171</v>
      </c>
      <c r="D76" s="29" t="s">
        <v>208</v>
      </c>
      <c r="E76" s="12" t="s">
        <v>218</v>
      </c>
      <c r="F76" s="4">
        <v>1</v>
      </c>
      <c r="G76" s="1" t="s">
        <v>219</v>
      </c>
      <c r="H76" s="1">
        <v>1</v>
      </c>
      <c r="I76" s="1"/>
      <c r="J76" s="1"/>
      <c r="K76" s="2"/>
      <c r="L76" s="1" t="s">
        <v>9</v>
      </c>
    </row>
    <row r="77" spans="1:12">
      <c r="A77" s="1">
        <v>75</v>
      </c>
      <c r="B77" s="37" t="s">
        <v>289</v>
      </c>
      <c r="C77" s="12" t="s">
        <v>171</v>
      </c>
      <c r="D77" s="29" t="s">
        <v>209</v>
      </c>
      <c r="E77" s="12" t="s">
        <v>21</v>
      </c>
      <c r="F77" s="4">
        <v>1</v>
      </c>
      <c r="G77" s="1" t="s">
        <v>89</v>
      </c>
      <c r="H77" s="1">
        <v>36</v>
      </c>
      <c r="I77" s="1"/>
      <c r="J77" s="1"/>
      <c r="K77" s="1"/>
      <c r="L77" s="1" t="s">
        <v>9</v>
      </c>
    </row>
    <row r="78" spans="1:12" s="10" customFormat="1">
      <c r="A78" s="1">
        <v>76</v>
      </c>
      <c r="B78" s="29"/>
      <c r="C78" s="29" t="s">
        <v>171</v>
      </c>
      <c r="D78" s="29" t="s">
        <v>209</v>
      </c>
      <c r="E78" s="29" t="s">
        <v>218</v>
      </c>
      <c r="F78" s="5">
        <v>1</v>
      </c>
      <c r="G78" s="2" t="s">
        <v>219</v>
      </c>
      <c r="H78" s="2">
        <v>1</v>
      </c>
      <c r="I78" s="2"/>
      <c r="J78" s="2"/>
      <c r="K78" s="2"/>
      <c r="L78" s="1" t="s">
        <v>9</v>
      </c>
    </row>
    <row r="79" spans="1:12">
      <c r="A79" s="1">
        <v>77</v>
      </c>
      <c r="B79" s="37" t="s">
        <v>295</v>
      </c>
      <c r="C79" s="12" t="s">
        <v>171</v>
      </c>
      <c r="D79" s="29" t="s">
        <v>210</v>
      </c>
      <c r="E79" s="12" t="s">
        <v>21</v>
      </c>
      <c r="F79" s="4">
        <v>2</v>
      </c>
      <c r="G79" s="1" t="s">
        <v>509</v>
      </c>
      <c r="H79" s="1">
        <v>1</v>
      </c>
      <c r="I79" s="1"/>
      <c r="J79" s="1"/>
      <c r="K79" s="1"/>
      <c r="L79" s="1" t="s">
        <v>9</v>
      </c>
    </row>
    <row r="80" spans="1:12">
      <c r="A80" s="1">
        <v>78</v>
      </c>
      <c r="B80" s="37" t="s">
        <v>295</v>
      </c>
      <c r="C80" s="12" t="s">
        <v>171</v>
      </c>
      <c r="D80" s="29" t="s">
        <v>211</v>
      </c>
      <c r="E80" s="12" t="s">
        <v>21</v>
      </c>
      <c r="F80" s="4">
        <v>2</v>
      </c>
      <c r="G80" s="1" t="s">
        <v>509</v>
      </c>
      <c r="H80" s="1">
        <v>2</v>
      </c>
      <c r="I80" s="1"/>
      <c r="J80" s="1"/>
      <c r="K80" s="1"/>
      <c r="L80" s="1" t="s">
        <v>9</v>
      </c>
    </row>
    <row r="81" spans="1:12">
      <c r="A81" s="1">
        <v>79</v>
      </c>
      <c r="B81" s="37" t="s">
        <v>295</v>
      </c>
      <c r="C81" s="12" t="s">
        <v>171</v>
      </c>
      <c r="D81" s="29" t="s">
        <v>212</v>
      </c>
      <c r="E81" s="12" t="s">
        <v>21</v>
      </c>
      <c r="F81" s="4">
        <v>2</v>
      </c>
      <c r="G81" s="1" t="s">
        <v>509</v>
      </c>
      <c r="H81" s="1">
        <v>2</v>
      </c>
      <c r="I81" s="1"/>
      <c r="J81" s="1"/>
      <c r="K81" s="1"/>
      <c r="L81" s="1" t="s">
        <v>9</v>
      </c>
    </row>
    <row r="82" spans="1:12">
      <c r="A82" s="1">
        <v>80</v>
      </c>
      <c r="B82" s="37" t="s">
        <v>295</v>
      </c>
      <c r="C82" s="12" t="s">
        <v>171</v>
      </c>
      <c r="D82" s="29" t="s">
        <v>213</v>
      </c>
      <c r="E82" s="12" t="s">
        <v>21</v>
      </c>
      <c r="F82" s="4">
        <v>2</v>
      </c>
      <c r="G82" s="1" t="s">
        <v>509</v>
      </c>
      <c r="H82" s="1">
        <v>4</v>
      </c>
      <c r="I82" s="1"/>
      <c r="J82" s="1"/>
      <c r="K82" s="1"/>
      <c r="L82" s="1" t="s">
        <v>9</v>
      </c>
    </row>
    <row r="83" spans="1:12">
      <c r="A83" s="1">
        <v>81</v>
      </c>
      <c r="B83" s="37" t="s">
        <v>295</v>
      </c>
      <c r="C83" s="12" t="s">
        <v>171</v>
      </c>
      <c r="D83" s="29" t="s">
        <v>214</v>
      </c>
      <c r="E83" s="12" t="s">
        <v>21</v>
      </c>
      <c r="F83" s="4">
        <v>2</v>
      </c>
      <c r="G83" s="1" t="s">
        <v>509</v>
      </c>
      <c r="H83" s="1">
        <v>6</v>
      </c>
      <c r="I83" s="1"/>
      <c r="J83" s="1"/>
      <c r="K83" s="1"/>
      <c r="L83" s="1" t="s">
        <v>9</v>
      </c>
    </row>
    <row r="84" spans="1:12">
      <c r="A84" s="1">
        <v>82</v>
      </c>
      <c r="B84" s="19" t="s">
        <v>566</v>
      </c>
      <c r="C84" s="12" t="s">
        <v>171</v>
      </c>
      <c r="D84" s="29" t="s">
        <v>215</v>
      </c>
      <c r="E84" s="12" t="s">
        <v>21</v>
      </c>
      <c r="F84" s="4">
        <v>2</v>
      </c>
      <c r="G84" s="1" t="s">
        <v>509</v>
      </c>
      <c r="H84" s="1">
        <v>1</v>
      </c>
      <c r="I84" s="1"/>
      <c r="J84" s="1"/>
      <c r="K84" s="1"/>
      <c r="L84" s="1" t="s">
        <v>9</v>
      </c>
    </row>
    <row r="85" spans="1:12">
      <c r="A85" s="1">
        <v>83</v>
      </c>
      <c r="B85" s="19" t="s">
        <v>567</v>
      </c>
      <c r="C85" s="12" t="s">
        <v>171</v>
      </c>
      <c r="D85" s="29" t="s">
        <v>215</v>
      </c>
      <c r="E85" s="12" t="s">
        <v>21</v>
      </c>
      <c r="F85" s="5">
        <v>1</v>
      </c>
      <c r="G85" s="2" t="s">
        <v>511</v>
      </c>
      <c r="H85" s="1">
        <v>1</v>
      </c>
      <c r="I85" s="1"/>
      <c r="J85" s="1"/>
      <c r="K85" s="1"/>
      <c r="L85" s="1" t="s">
        <v>9</v>
      </c>
    </row>
    <row r="86" spans="1:12">
      <c r="A86" s="1">
        <v>84</v>
      </c>
      <c r="B86" s="37" t="s">
        <v>568</v>
      </c>
      <c r="C86" s="12" t="s">
        <v>171</v>
      </c>
      <c r="D86" s="29" t="s">
        <v>216</v>
      </c>
      <c r="E86" s="12" t="s">
        <v>21</v>
      </c>
      <c r="F86" s="5">
        <v>2</v>
      </c>
      <c r="G86" s="2" t="s">
        <v>572</v>
      </c>
      <c r="H86" s="1">
        <v>10</v>
      </c>
      <c r="I86" s="1"/>
      <c r="J86" s="1"/>
      <c r="K86" s="1"/>
      <c r="L86" s="1" t="s">
        <v>9</v>
      </c>
    </row>
    <row r="87" spans="1:12">
      <c r="A87" s="7"/>
      <c r="B87" s="22"/>
      <c r="C87" s="22"/>
      <c r="D87" s="21"/>
      <c r="E87" s="22"/>
      <c r="F87" s="9"/>
      <c r="G87" s="6"/>
      <c r="H87" s="7">
        <f>SUM(H3:H86)</f>
        <v>927</v>
      </c>
      <c r="I87" s="7"/>
      <c r="J87" s="7"/>
      <c r="K87" s="7"/>
      <c r="L87" s="7"/>
    </row>
    <row r="88" spans="1:12">
      <c r="C88" s="22"/>
      <c r="D88" s="21"/>
      <c r="E88" s="22"/>
      <c r="F88" s="9"/>
      <c r="G88" s="6"/>
      <c r="H88" s="7"/>
      <c r="I88" s="7"/>
      <c r="J88" s="7"/>
      <c r="K88" s="7"/>
      <c r="L88" s="7"/>
    </row>
    <row r="89" spans="1:12">
      <c r="A89" t="s">
        <v>77</v>
      </c>
    </row>
    <row r="90" spans="1:12">
      <c r="A90" s="1">
        <v>83</v>
      </c>
      <c r="B90" s="29" t="s">
        <v>67</v>
      </c>
      <c r="C90" s="29" t="s">
        <v>220</v>
      </c>
      <c r="D90" s="29" t="s">
        <v>57</v>
      </c>
      <c r="E90" s="12" t="s">
        <v>97</v>
      </c>
      <c r="F90" s="4">
        <v>1</v>
      </c>
      <c r="G90" s="1" t="s">
        <v>594</v>
      </c>
      <c r="H90" s="1">
        <v>1</v>
      </c>
      <c r="I90" s="1">
        <v>8760</v>
      </c>
      <c r="J90" s="1">
        <v>4</v>
      </c>
      <c r="K90" s="1"/>
      <c r="L90" s="1" t="s">
        <v>9</v>
      </c>
    </row>
    <row r="91" spans="1:12">
      <c r="A91" s="1">
        <v>84</v>
      </c>
      <c r="B91" s="29" t="s">
        <v>69</v>
      </c>
      <c r="C91" s="29" t="s">
        <v>220</v>
      </c>
      <c r="D91" s="29" t="s">
        <v>39</v>
      </c>
      <c r="E91" s="12" t="s">
        <v>97</v>
      </c>
      <c r="F91" s="4">
        <v>1</v>
      </c>
      <c r="G91" s="1" t="s">
        <v>594</v>
      </c>
      <c r="H91" s="1">
        <v>1</v>
      </c>
      <c r="I91" s="1">
        <v>8760</v>
      </c>
      <c r="J91" s="1">
        <v>4</v>
      </c>
      <c r="K91" s="1"/>
      <c r="L91" s="1" t="s">
        <v>9</v>
      </c>
    </row>
    <row r="92" spans="1:12">
      <c r="A92" s="1">
        <v>85</v>
      </c>
      <c r="B92" s="29" t="s">
        <v>67</v>
      </c>
      <c r="C92" s="29" t="s">
        <v>220</v>
      </c>
      <c r="D92" s="29" t="s">
        <v>45</v>
      </c>
      <c r="E92" s="12" t="s">
        <v>97</v>
      </c>
      <c r="F92" s="4">
        <v>1</v>
      </c>
      <c r="G92" s="1" t="s">
        <v>594</v>
      </c>
      <c r="H92" s="1">
        <v>1</v>
      </c>
      <c r="I92" s="1">
        <v>8760</v>
      </c>
      <c r="J92" s="1">
        <v>4</v>
      </c>
      <c r="K92" s="1"/>
      <c r="L92" s="1" t="s">
        <v>9</v>
      </c>
    </row>
    <row r="93" spans="1:12">
      <c r="A93" s="1">
        <v>86</v>
      </c>
      <c r="B93" s="29" t="s">
        <v>68</v>
      </c>
      <c r="C93" s="29" t="s">
        <v>171</v>
      </c>
      <c r="D93" s="29" t="s">
        <v>45</v>
      </c>
      <c r="E93" s="12" t="s">
        <v>98</v>
      </c>
      <c r="F93" s="4">
        <v>1</v>
      </c>
      <c r="G93" s="1" t="s">
        <v>594</v>
      </c>
      <c r="H93" s="1">
        <v>1</v>
      </c>
      <c r="I93" s="1">
        <v>8760</v>
      </c>
      <c r="J93" s="1">
        <v>4</v>
      </c>
      <c r="K93" s="1"/>
      <c r="L93" s="1" t="s">
        <v>9</v>
      </c>
    </row>
    <row r="94" spans="1:12">
      <c r="A94" s="1">
        <v>87</v>
      </c>
      <c r="B94" s="29" t="s">
        <v>67</v>
      </c>
      <c r="C94" s="29" t="s">
        <v>171</v>
      </c>
      <c r="D94" s="29" t="s">
        <v>65</v>
      </c>
      <c r="E94" s="12" t="s">
        <v>97</v>
      </c>
      <c r="F94" s="4">
        <v>1</v>
      </c>
      <c r="G94" s="1" t="s">
        <v>594</v>
      </c>
      <c r="H94" s="1">
        <v>1</v>
      </c>
      <c r="I94" s="1">
        <v>8760</v>
      </c>
      <c r="J94" s="1">
        <v>4</v>
      </c>
      <c r="K94" s="1"/>
      <c r="L94" s="1" t="s">
        <v>9</v>
      </c>
    </row>
    <row r="95" spans="1:12">
      <c r="A95" s="1">
        <v>88</v>
      </c>
      <c r="B95" s="29" t="s">
        <v>69</v>
      </c>
      <c r="C95" s="29" t="s">
        <v>171</v>
      </c>
      <c r="D95" s="29" t="s">
        <v>49</v>
      </c>
      <c r="E95" s="12" t="s">
        <v>97</v>
      </c>
      <c r="F95" s="4">
        <v>1</v>
      </c>
      <c r="G95" s="1" t="s">
        <v>594</v>
      </c>
      <c r="H95" s="1">
        <v>1</v>
      </c>
      <c r="I95" s="1">
        <v>8760</v>
      </c>
      <c r="J95" s="1">
        <v>4</v>
      </c>
      <c r="K95" s="1"/>
      <c r="L95" s="1" t="s">
        <v>9</v>
      </c>
    </row>
    <row r="96" spans="1:12">
      <c r="A96" s="1">
        <v>89</v>
      </c>
      <c r="B96" s="29" t="s">
        <v>67</v>
      </c>
      <c r="C96" s="29" t="s">
        <v>171</v>
      </c>
      <c r="D96" s="29" t="s">
        <v>23</v>
      </c>
      <c r="E96" s="12" t="s">
        <v>97</v>
      </c>
      <c r="F96" s="4">
        <v>1</v>
      </c>
      <c r="G96" s="1" t="s">
        <v>594</v>
      </c>
      <c r="H96" s="1">
        <v>1</v>
      </c>
      <c r="I96" s="1">
        <v>8760</v>
      </c>
      <c r="J96" s="1">
        <v>4</v>
      </c>
      <c r="K96" s="1"/>
      <c r="L96" s="1" t="s">
        <v>9</v>
      </c>
    </row>
    <row r="97" spans="1:12">
      <c r="A97" s="1">
        <v>90</v>
      </c>
      <c r="B97" s="29" t="s">
        <v>68</v>
      </c>
      <c r="C97" s="29" t="s">
        <v>171</v>
      </c>
      <c r="D97" s="29" t="s">
        <v>23</v>
      </c>
      <c r="E97" s="12" t="s">
        <v>98</v>
      </c>
      <c r="F97" s="4">
        <v>1</v>
      </c>
      <c r="G97" s="1" t="s">
        <v>594</v>
      </c>
      <c r="H97" s="1">
        <v>1</v>
      </c>
      <c r="I97" s="1">
        <v>8760</v>
      </c>
      <c r="J97" s="1">
        <v>4</v>
      </c>
      <c r="K97" s="1"/>
      <c r="L97" s="1" t="s">
        <v>9</v>
      </c>
    </row>
    <row r="98" spans="1:12">
      <c r="A98" s="1">
        <v>91</v>
      </c>
      <c r="B98" s="19" t="s">
        <v>221</v>
      </c>
      <c r="C98" s="12" t="s">
        <v>171</v>
      </c>
      <c r="D98" s="12" t="s">
        <v>109</v>
      </c>
      <c r="E98" s="12" t="s">
        <v>224</v>
      </c>
      <c r="F98" s="4">
        <v>1</v>
      </c>
      <c r="G98" s="1" t="s">
        <v>596</v>
      </c>
      <c r="H98" s="1">
        <v>1</v>
      </c>
      <c r="I98" s="1">
        <v>8760</v>
      </c>
      <c r="J98" s="1">
        <v>6</v>
      </c>
      <c r="K98" s="1"/>
      <c r="L98" s="1" t="s">
        <v>9</v>
      </c>
    </row>
    <row r="99" spans="1:12">
      <c r="A99" s="1">
        <v>92</v>
      </c>
      <c r="B99" s="19" t="s">
        <v>221</v>
      </c>
      <c r="C99" s="12" t="s">
        <v>171</v>
      </c>
      <c r="D99" s="12" t="s">
        <v>190</v>
      </c>
      <c r="E99" s="12" t="s">
        <v>224</v>
      </c>
      <c r="F99" s="4">
        <v>1</v>
      </c>
      <c r="G99" s="1" t="s">
        <v>596</v>
      </c>
      <c r="H99" s="1">
        <v>2</v>
      </c>
      <c r="I99" s="1">
        <v>8760</v>
      </c>
      <c r="J99" s="1">
        <v>6</v>
      </c>
      <c r="K99" s="1"/>
      <c r="L99" s="1" t="s">
        <v>9</v>
      </c>
    </row>
    <row r="100" spans="1:12">
      <c r="A100" s="1">
        <v>93</v>
      </c>
      <c r="B100" s="19" t="s">
        <v>221</v>
      </c>
      <c r="C100" s="12" t="s">
        <v>171</v>
      </c>
      <c r="D100" s="29" t="s">
        <v>192</v>
      </c>
      <c r="E100" s="12" t="s">
        <v>224</v>
      </c>
      <c r="F100" s="4">
        <v>1</v>
      </c>
      <c r="G100" s="1" t="s">
        <v>596</v>
      </c>
      <c r="H100" s="2">
        <v>1</v>
      </c>
      <c r="I100" s="1">
        <v>8760</v>
      </c>
      <c r="J100" s="1">
        <v>6</v>
      </c>
      <c r="K100" s="1"/>
      <c r="L100" s="1" t="s">
        <v>9</v>
      </c>
    </row>
    <row r="101" spans="1:12">
      <c r="A101" s="1">
        <v>94</v>
      </c>
      <c r="B101" s="29" t="s">
        <v>67</v>
      </c>
      <c r="C101" s="12" t="s">
        <v>171</v>
      </c>
      <c r="D101" s="29" t="s">
        <v>193</v>
      </c>
      <c r="E101" s="12" t="s">
        <v>97</v>
      </c>
      <c r="F101" s="4">
        <v>1</v>
      </c>
      <c r="G101" s="1" t="s">
        <v>594</v>
      </c>
      <c r="H101" s="2">
        <v>1</v>
      </c>
      <c r="I101" s="1">
        <v>8760</v>
      </c>
      <c r="J101" s="1">
        <v>4</v>
      </c>
      <c r="K101" s="1"/>
      <c r="L101" s="1" t="s">
        <v>9</v>
      </c>
    </row>
    <row r="102" spans="1:12">
      <c r="A102" s="1">
        <v>95</v>
      </c>
      <c r="B102" s="29" t="s">
        <v>69</v>
      </c>
      <c r="C102" s="12" t="s">
        <v>171</v>
      </c>
      <c r="D102" s="29" t="s">
        <v>222</v>
      </c>
      <c r="E102" s="12" t="s">
        <v>97</v>
      </c>
      <c r="F102" s="4">
        <v>1</v>
      </c>
      <c r="G102" s="1" t="s">
        <v>594</v>
      </c>
      <c r="H102" s="2">
        <v>1</v>
      </c>
      <c r="I102" s="1">
        <v>8760</v>
      </c>
      <c r="J102" s="1">
        <v>4</v>
      </c>
      <c r="K102" s="1"/>
      <c r="L102" s="1" t="s">
        <v>9</v>
      </c>
    </row>
    <row r="103" spans="1:12">
      <c r="A103" s="1">
        <v>96</v>
      </c>
      <c r="B103" s="29" t="s">
        <v>68</v>
      </c>
      <c r="C103" s="12" t="s">
        <v>171</v>
      </c>
      <c r="D103" s="29" t="s">
        <v>222</v>
      </c>
      <c r="E103" s="12" t="s">
        <v>98</v>
      </c>
      <c r="F103" s="4">
        <v>1</v>
      </c>
      <c r="G103" s="1" t="s">
        <v>594</v>
      </c>
      <c r="H103" s="2">
        <v>1</v>
      </c>
      <c r="I103" s="1">
        <v>8760</v>
      </c>
      <c r="J103" s="1">
        <v>4</v>
      </c>
      <c r="K103" s="1"/>
      <c r="L103" s="1" t="s">
        <v>9</v>
      </c>
    </row>
    <row r="104" spans="1:12">
      <c r="A104" s="1">
        <v>97</v>
      </c>
      <c r="B104" s="29" t="s">
        <v>67</v>
      </c>
      <c r="C104" s="12" t="s">
        <v>171</v>
      </c>
      <c r="D104" s="29" t="s">
        <v>223</v>
      </c>
      <c r="E104" s="12" t="s">
        <v>97</v>
      </c>
      <c r="F104" s="4">
        <v>1</v>
      </c>
      <c r="G104" s="1" t="s">
        <v>594</v>
      </c>
      <c r="H104" s="2">
        <v>1</v>
      </c>
      <c r="I104" s="1">
        <v>8760</v>
      </c>
      <c r="J104" s="1">
        <v>4</v>
      </c>
      <c r="K104" s="1"/>
      <c r="L104" s="1" t="s">
        <v>9</v>
      </c>
    </row>
    <row r="105" spans="1:12">
      <c r="A105" s="1">
        <v>98</v>
      </c>
      <c r="B105" s="19" t="s">
        <v>67</v>
      </c>
      <c r="C105" s="12" t="s">
        <v>171</v>
      </c>
      <c r="D105" s="12" t="s">
        <v>199</v>
      </c>
      <c r="E105" s="12" t="s">
        <v>97</v>
      </c>
      <c r="F105" s="4">
        <v>1</v>
      </c>
      <c r="G105" s="1" t="s">
        <v>594</v>
      </c>
      <c r="H105" s="1">
        <v>1</v>
      </c>
      <c r="I105" s="1">
        <v>8760</v>
      </c>
      <c r="J105" s="1">
        <v>4</v>
      </c>
      <c r="K105" s="1"/>
      <c r="L105" s="1" t="s">
        <v>9</v>
      </c>
    </row>
    <row r="106" spans="1:12">
      <c r="A106" s="1">
        <v>99</v>
      </c>
      <c r="B106" s="19" t="s">
        <v>68</v>
      </c>
      <c r="C106" s="12" t="s">
        <v>171</v>
      </c>
      <c r="D106" s="12" t="s">
        <v>11</v>
      </c>
      <c r="E106" s="12" t="s">
        <v>98</v>
      </c>
      <c r="F106" s="4">
        <v>1</v>
      </c>
      <c r="G106" s="1" t="s">
        <v>594</v>
      </c>
      <c r="H106" s="1">
        <v>10</v>
      </c>
      <c r="I106" s="1">
        <v>8760</v>
      </c>
      <c r="J106" s="1">
        <v>4</v>
      </c>
      <c r="K106" s="1"/>
      <c r="L106" s="1" t="s">
        <v>9</v>
      </c>
    </row>
    <row r="107" spans="1:12">
      <c r="A107" s="1">
        <v>100</v>
      </c>
      <c r="B107" s="19" t="s">
        <v>69</v>
      </c>
      <c r="C107" s="12" t="s">
        <v>171</v>
      </c>
      <c r="D107" s="12" t="s">
        <v>11</v>
      </c>
      <c r="E107" s="12" t="s">
        <v>97</v>
      </c>
      <c r="F107" s="4">
        <v>1</v>
      </c>
      <c r="G107" s="1" t="s">
        <v>594</v>
      </c>
      <c r="H107" s="1">
        <v>2</v>
      </c>
      <c r="I107" s="1">
        <v>8760</v>
      </c>
      <c r="J107" s="1">
        <v>4</v>
      </c>
      <c r="K107" s="1"/>
      <c r="L107" s="1" t="s">
        <v>9</v>
      </c>
    </row>
    <row r="108" spans="1:12">
      <c r="A108" s="7"/>
      <c r="B108" s="22"/>
      <c r="C108" s="22"/>
      <c r="D108" s="22"/>
      <c r="E108" s="22"/>
      <c r="F108" s="8"/>
      <c r="G108" s="7"/>
      <c r="H108" s="7">
        <f>SUM(H90:H107)</f>
        <v>29</v>
      </c>
      <c r="I108" s="7"/>
      <c r="J108" s="7"/>
      <c r="K108" s="7"/>
      <c r="L108" s="7"/>
    </row>
    <row r="110" spans="1:12" ht="17.25" customHeight="1">
      <c r="A110" t="s">
        <v>70</v>
      </c>
    </row>
    <row r="111" spans="1:12" s="10" customFormat="1">
      <c r="A111" s="2">
        <v>101</v>
      </c>
      <c r="B111" s="29"/>
      <c r="C111" s="29" t="s">
        <v>171</v>
      </c>
      <c r="D111" s="29" t="s">
        <v>71</v>
      </c>
      <c r="E111" s="29" t="s">
        <v>72</v>
      </c>
      <c r="F111" s="5">
        <v>1</v>
      </c>
      <c r="G111" s="19" t="s">
        <v>585</v>
      </c>
      <c r="H111" s="2">
        <v>99</v>
      </c>
      <c r="I111" s="2">
        <v>0</v>
      </c>
      <c r="J111" s="2">
        <v>60</v>
      </c>
      <c r="K111" s="2"/>
      <c r="L111" s="2" t="s">
        <v>9</v>
      </c>
    </row>
    <row r="112" spans="1:12">
      <c r="A112" s="1">
        <v>123</v>
      </c>
      <c r="B112" s="19" t="s">
        <v>581</v>
      </c>
      <c r="C112" s="29" t="s">
        <v>171</v>
      </c>
      <c r="D112" s="19" t="s">
        <v>71</v>
      </c>
      <c r="E112" s="19" t="s">
        <v>218</v>
      </c>
      <c r="F112" s="33">
        <v>1</v>
      </c>
      <c r="G112" s="19" t="s">
        <v>585</v>
      </c>
      <c r="H112" s="19">
        <v>6</v>
      </c>
      <c r="I112" s="29">
        <v>0</v>
      </c>
      <c r="J112" s="12">
        <v>40</v>
      </c>
      <c r="K112" s="19"/>
      <c r="L112" s="1" t="s">
        <v>9</v>
      </c>
    </row>
    <row r="113" spans="3:11">
      <c r="C113" s="18"/>
      <c r="D113" s="18"/>
      <c r="E113" s="18"/>
      <c r="F113" s="18"/>
      <c r="G113" s="18"/>
      <c r="H113" s="18">
        <f>SUM(H111:H112)</f>
        <v>105</v>
      </c>
      <c r="I113" s="31"/>
      <c r="J113" s="11"/>
      <c r="K113" s="18"/>
    </row>
  </sheetData>
  <phoneticPr fontId="2"/>
  <pageMargins left="0.7" right="0.7" top="0.75" bottom="0.75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F12-0D1E-49AF-863D-31F389F86CFF}">
  <sheetPr>
    <pageSetUpPr fitToPage="1"/>
  </sheetPr>
  <dimension ref="A1:L33"/>
  <sheetViews>
    <sheetView topLeftCell="A13" workbookViewId="0">
      <selection activeCell="C13" sqref="C13"/>
    </sheetView>
  </sheetViews>
  <sheetFormatPr defaultRowHeight="17.649999999999999"/>
  <cols>
    <col min="1" max="1" width="4.4375" customWidth="1"/>
    <col min="2" max="2" width="8.25" bestFit="1" customWidth="1"/>
    <col min="3" max="3" width="4.5" customWidth="1"/>
    <col min="4" max="4" width="23" style="18" bestFit="1" customWidth="1"/>
    <col min="5" max="5" width="21.375" style="18" bestFit="1" customWidth="1"/>
    <col min="6" max="6" width="4.8125" style="11" bestFit="1" customWidth="1"/>
    <col min="7" max="7" width="23.9375" style="11" customWidth="1"/>
    <col min="8" max="8" width="5.1875" style="18" bestFit="1" customWidth="1"/>
    <col min="9" max="9" width="12.9375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" t="s">
        <v>14</v>
      </c>
      <c r="C2" s="1" t="s">
        <v>1</v>
      </c>
      <c r="D2" s="19" t="s">
        <v>13</v>
      </c>
      <c r="E2" s="19" t="s">
        <v>2</v>
      </c>
      <c r="F2" s="12" t="s">
        <v>3</v>
      </c>
      <c r="G2" s="12" t="s">
        <v>6</v>
      </c>
      <c r="H2" s="19" t="s">
        <v>4</v>
      </c>
      <c r="I2" s="1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1" t="s">
        <v>82</v>
      </c>
      <c r="C3" s="1" t="s">
        <v>226</v>
      </c>
      <c r="D3" s="20" t="s">
        <v>227</v>
      </c>
      <c r="E3" s="23" t="s">
        <v>21</v>
      </c>
      <c r="F3" s="13">
        <v>1</v>
      </c>
      <c r="G3" s="12" t="s">
        <v>251</v>
      </c>
      <c r="H3" s="24">
        <v>4</v>
      </c>
      <c r="I3" s="1"/>
      <c r="J3" s="1"/>
      <c r="K3" s="1"/>
      <c r="L3" s="1" t="s">
        <v>9</v>
      </c>
    </row>
    <row r="4" spans="1:12">
      <c r="A4" s="1">
        <v>2</v>
      </c>
      <c r="B4" s="1" t="s">
        <v>80</v>
      </c>
      <c r="C4" s="1" t="s">
        <v>226</v>
      </c>
      <c r="D4" s="20" t="s">
        <v>228</v>
      </c>
      <c r="E4" s="23" t="s">
        <v>21</v>
      </c>
      <c r="F4" s="13">
        <v>1</v>
      </c>
      <c r="G4" s="12" t="s">
        <v>551</v>
      </c>
      <c r="H4" s="24">
        <v>1</v>
      </c>
      <c r="I4" s="1"/>
      <c r="J4" s="1"/>
      <c r="K4" s="1"/>
      <c r="L4" s="1" t="s">
        <v>9</v>
      </c>
    </row>
    <row r="5" spans="1:12">
      <c r="A5" s="1">
        <v>3</v>
      </c>
      <c r="B5" s="1" t="s">
        <v>575</v>
      </c>
      <c r="C5" s="1" t="s">
        <v>225</v>
      </c>
      <c r="D5" s="20" t="s">
        <v>229</v>
      </c>
      <c r="E5" s="23" t="s">
        <v>164</v>
      </c>
      <c r="F5" s="13">
        <v>1</v>
      </c>
      <c r="G5" s="23" t="s">
        <v>250</v>
      </c>
      <c r="H5" s="24">
        <v>1</v>
      </c>
      <c r="I5" s="1"/>
      <c r="J5" s="1"/>
      <c r="K5" s="1"/>
      <c r="L5" s="1" t="s">
        <v>9</v>
      </c>
    </row>
    <row r="6" spans="1:12" s="10" customFormat="1">
      <c r="A6" s="53">
        <v>4</v>
      </c>
      <c r="B6" s="53" t="s">
        <v>504</v>
      </c>
      <c r="C6" s="53" t="s">
        <v>226</v>
      </c>
      <c r="D6" s="56" t="s">
        <v>255</v>
      </c>
      <c r="E6" s="57" t="s">
        <v>21</v>
      </c>
      <c r="F6" s="66">
        <v>6</v>
      </c>
      <c r="G6" s="57" t="s">
        <v>505</v>
      </c>
      <c r="H6" s="59">
        <v>6</v>
      </c>
      <c r="I6" s="53"/>
      <c r="J6" s="53"/>
      <c r="K6" s="53"/>
      <c r="L6" s="53" t="s">
        <v>9</v>
      </c>
    </row>
    <row r="7" spans="1:12" s="10" customFormat="1">
      <c r="A7" s="53">
        <v>5</v>
      </c>
      <c r="B7" s="53" t="s">
        <v>84</v>
      </c>
      <c r="C7" s="53" t="s">
        <v>226</v>
      </c>
      <c r="D7" s="56" t="s">
        <v>255</v>
      </c>
      <c r="E7" s="57" t="s">
        <v>21</v>
      </c>
      <c r="F7" s="66">
        <v>1</v>
      </c>
      <c r="G7" s="57" t="s">
        <v>89</v>
      </c>
      <c r="H7" s="59">
        <v>24</v>
      </c>
      <c r="I7" s="53"/>
      <c r="J7" s="53"/>
      <c r="K7" s="53"/>
      <c r="L7" s="53" t="s">
        <v>9</v>
      </c>
    </row>
    <row r="8" spans="1:12" s="10" customFormat="1">
      <c r="A8" s="53">
        <v>6</v>
      </c>
      <c r="B8" s="53"/>
      <c r="C8" s="53" t="s">
        <v>226</v>
      </c>
      <c r="D8" s="56" t="s">
        <v>256</v>
      </c>
      <c r="E8" s="57" t="s">
        <v>503</v>
      </c>
      <c r="F8" s="66">
        <v>1</v>
      </c>
      <c r="G8" s="57"/>
      <c r="H8" s="59">
        <v>28</v>
      </c>
      <c r="I8" s="53"/>
      <c r="J8" s="53"/>
      <c r="K8" s="53"/>
      <c r="L8" s="53" t="s">
        <v>9</v>
      </c>
    </row>
    <row r="9" spans="1:12" s="10" customFormat="1">
      <c r="A9" s="53">
        <v>7</v>
      </c>
      <c r="B9" s="53"/>
      <c r="C9" s="53" t="s">
        <v>226</v>
      </c>
      <c r="D9" s="56" t="s">
        <v>256</v>
      </c>
      <c r="E9" s="57" t="s">
        <v>503</v>
      </c>
      <c r="F9" s="66">
        <v>1</v>
      </c>
      <c r="G9" s="57"/>
      <c r="H9" s="59">
        <v>30</v>
      </c>
      <c r="I9" s="53"/>
      <c r="J9" s="53"/>
      <c r="K9" s="53"/>
      <c r="L9" s="53" t="s">
        <v>9</v>
      </c>
    </row>
    <row r="10" spans="1:12" s="10" customFormat="1">
      <c r="A10" s="53">
        <v>8</v>
      </c>
      <c r="B10" s="53" t="s">
        <v>504</v>
      </c>
      <c r="C10" s="53" t="s">
        <v>226</v>
      </c>
      <c r="D10" s="56" t="s">
        <v>257</v>
      </c>
      <c r="E10" s="57" t="s">
        <v>21</v>
      </c>
      <c r="F10" s="66">
        <v>6</v>
      </c>
      <c r="G10" s="57" t="s">
        <v>505</v>
      </c>
      <c r="H10" s="59">
        <v>6</v>
      </c>
      <c r="I10" s="53"/>
      <c r="J10" s="53"/>
      <c r="K10" s="53"/>
      <c r="L10" s="53" t="s">
        <v>9</v>
      </c>
    </row>
    <row r="11" spans="1:12" s="10" customFormat="1">
      <c r="A11" s="53">
        <v>9</v>
      </c>
      <c r="B11" s="53" t="s">
        <v>84</v>
      </c>
      <c r="C11" s="53" t="s">
        <v>226</v>
      </c>
      <c r="D11" s="56" t="s">
        <v>257</v>
      </c>
      <c r="E11" s="57" t="s">
        <v>21</v>
      </c>
      <c r="F11" s="66">
        <v>1</v>
      </c>
      <c r="G11" s="57" t="s">
        <v>89</v>
      </c>
      <c r="H11" s="59">
        <v>24</v>
      </c>
      <c r="I11" s="53"/>
      <c r="J11" s="53"/>
      <c r="K11" s="53"/>
      <c r="L11" s="53" t="s">
        <v>9</v>
      </c>
    </row>
    <row r="12" spans="1:12">
      <c r="A12" s="1">
        <v>10</v>
      </c>
      <c r="B12" s="1" t="s">
        <v>82</v>
      </c>
      <c r="C12" s="1" t="s">
        <v>225</v>
      </c>
      <c r="D12" s="20" t="s">
        <v>230</v>
      </c>
      <c r="E12" s="23" t="s">
        <v>21</v>
      </c>
      <c r="F12" s="13">
        <v>1</v>
      </c>
      <c r="G12" s="12" t="s">
        <v>251</v>
      </c>
      <c r="H12" s="24">
        <v>23</v>
      </c>
      <c r="I12" s="1"/>
      <c r="J12" s="1"/>
      <c r="K12" s="1"/>
      <c r="L12" s="1" t="s">
        <v>9</v>
      </c>
    </row>
    <row r="13" spans="1:12">
      <c r="A13" s="1">
        <v>11</v>
      </c>
      <c r="B13" s="1" t="s">
        <v>576</v>
      </c>
      <c r="C13" s="1" t="s">
        <v>225</v>
      </c>
      <c r="D13" s="20" t="s">
        <v>231</v>
      </c>
      <c r="E13" s="23" t="s">
        <v>164</v>
      </c>
      <c r="F13" s="13">
        <v>1</v>
      </c>
      <c r="G13" s="12" t="s">
        <v>252</v>
      </c>
      <c r="H13" s="24">
        <v>8</v>
      </c>
      <c r="I13" s="1"/>
      <c r="J13" s="1"/>
      <c r="K13" s="1"/>
      <c r="L13" s="1" t="s">
        <v>9</v>
      </c>
    </row>
    <row r="14" spans="1:12">
      <c r="A14" s="1">
        <v>12</v>
      </c>
      <c r="B14" s="1" t="s">
        <v>82</v>
      </c>
      <c r="C14" s="1" t="s">
        <v>225</v>
      </c>
      <c r="D14" s="20" t="s">
        <v>232</v>
      </c>
      <c r="E14" s="23" t="s">
        <v>21</v>
      </c>
      <c r="F14" s="13">
        <v>1</v>
      </c>
      <c r="G14" s="12" t="s">
        <v>251</v>
      </c>
      <c r="H14" s="24">
        <v>4</v>
      </c>
      <c r="I14" s="1"/>
      <c r="J14" s="1"/>
      <c r="K14" s="1"/>
      <c r="L14" s="1" t="s">
        <v>9</v>
      </c>
    </row>
    <row r="15" spans="1:12">
      <c r="A15" s="1">
        <v>13</v>
      </c>
      <c r="B15" s="1" t="s">
        <v>82</v>
      </c>
      <c r="C15" s="1" t="s">
        <v>225</v>
      </c>
      <c r="D15" s="20" t="s">
        <v>233</v>
      </c>
      <c r="E15" s="23" t="s">
        <v>21</v>
      </c>
      <c r="F15" s="13">
        <v>1</v>
      </c>
      <c r="G15" s="12" t="s">
        <v>251</v>
      </c>
      <c r="H15" s="24">
        <v>3</v>
      </c>
      <c r="I15" s="1"/>
      <c r="J15" s="1"/>
      <c r="K15" s="1"/>
      <c r="L15" s="1" t="s">
        <v>9</v>
      </c>
    </row>
    <row r="16" spans="1:12">
      <c r="A16" s="1">
        <v>14</v>
      </c>
      <c r="B16" s="1" t="s">
        <v>85</v>
      </c>
      <c r="C16" s="1" t="s">
        <v>225</v>
      </c>
      <c r="D16" s="20" t="s">
        <v>234</v>
      </c>
      <c r="E16" s="23" t="s">
        <v>21</v>
      </c>
      <c r="F16" s="13">
        <v>1</v>
      </c>
      <c r="G16" s="14" t="s">
        <v>253</v>
      </c>
      <c r="H16" s="24">
        <v>2</v>
      </c>
      <c r="I16" s="1"/>
      <c r="J16" s="1"/>
      <c r="K16" s="2"/>
      <c r="L16" s="1" t="s">
        <v>9</v>
      </c>
    </row>
    <row r="17" spans="1:12">
      <c r="A17" s="1">
        <v>15</v>
      </c>
      <c r="B17" s="1" t="s">
        <v>79</v>
      </c>
      <c r="C17" s="1" t="s">
        <v>225</v>
      </c>
      <c r="D17" s="20" t="s">
        <v>235</v>
      </c>
      <c r="E17" s="23" t="s">
        <v>21</v>
      </c>
      <c r="F17" s="15">
        <v>1</v>
      </c>
      <c r="G17" s="12" t="s">
        <v>551</v>
      </c>
      <c r="H17" s="24">
        <v>1</v>
      </c>
      <c r="I17" s="2"/>
      <c r="J17" s="2"/>
      <c r="K17" s="2"/>
      <c r="L17" s="1" t="s">
        <v>9</v>
      </c>
    </row>
    <row r="18" spans="1:12">
      <c r="A18" s="1">
        <v>16</v>
      </c>
      <c r="B18" s="2" t="s">
        <v>575</v>
      </c>
      <c r="C18" s="1" t="s">
        <v>225</v>
      </c>
      <c r="D18" s="20" t="s">
        <v>236</v>
      </c>
      <c r="E18" s="23" t="s">
        <v>164</v>
      </c>
      <c r="F18" s="15">
        <v>1</v>
      </c>
      <c r="G18" s="14" t="s">
        <v>252</v>
      </c>
      <c r="H18" s="24">
        <v>1</v>
      </c>
      <c r="I18" s="2"/>
      <c r="J18" s="2"/>
      <c r="K18" s="2"/>
      <c r="L18" s="1" t="s">
        <v>9</v>
      </c>
    </row>
    <row r="19" spans="1:12">
      <c r="A19" s="1">
        <v>17</v>
      </c>
      <c r="B19" s="2" t="s">
        <v>82</v>
      </c>
      <c r="C19" s="1" t="s">
        <v>225</v>
      </c>
      <c r="D19" s="20" t="s">
        <v>237</v>
      </c>
      <c r="E19" s="23" t="s">
        <v>21</v>
      </c>
      <c r="F19" s="15">
        <v>1</v>
      </c>
      <c r="G19" s="14" t="s">
        <v>251</v>
      </c>
      <c r="H19" s="24">
        <v>4</v>
      </c>
      <c r="I19" s="2"/>
      <c r="J19" s="2"/>
      <c r="K19" s="2"/>
      <c r="L19" s="1" t="s">
        <v>9</v>
      </c>
    </row>
    <row r="20" spans="1:12">
      <c r="A20" s="1">
        <v>18</v>
      </c>
      <c r="B20" s="2" t="s">
        <v>80</v>
      </c>
      <c r="C20" s="1" t="s">
        <v>225</v>
      </c>
      <c r="D20" s="20" t="s">
        <v>238</v>
      </c>
      <c r="E20" s="23" t="s">
        <v>21</v>
      </c>
      <c r="F20" s="15">
        <v>1</v>
      </c>
      <c r="G20" s="14" t="s">
        <v>551</v>
      </c>
      <c r="H20" s="24">
        <v>1</v>
      </c>
      <c r="I20" s="2"/>
      <c r="J20" s="2"/>
      <c r="K20" s="2"/>
      <c r="L20" s="1" t="s">
        <v>9</v>
      </c>
    </row>
    <row r="21" spans="1:12">
      <c r="A21" s="1">
        <v>19</v>
      </c>
      <c r="B21" s="2" t="s">
        <v>575</v>
      </c>
      <c r="C21" s="1" t="s">
        <v>225</v>
      </c>
      <c r="D21" s="20" t="s">
        <v>239</v>
      </c>
      <c r="E21" s="23" t="s">
        <v>164</v>
      </c>
      <c r="F21" s="15">
        <v>1</v>
      </c>
      <c r="G21" s="14" t="s">
        <v>252</v>
      </c>
      <c r="H21" s="24">
        <v>1</v>
      </c>
      <c r="I21" s="2"/>
      <c r="J21" s="2"/>
      <c r="K21" s="2"/>
      <c r="L21" s="1" t="s">
        <v>9</v>
      </c>
    </row>
    <row r="22" spans="1:12">
      <c r="A22" s="1">
        <v>20</v>
      </c>
      <c r="B22" s="2" t="s">
        <v>82</v>
      </c>
      <c r="C22" s="1" t="s">
        <v>225</v>
      </c>
      <c r="D22" s="20" t="s">
        <v>240</v>
      </c>
      <c r="E22" s="23" t="s">
        <v>21</v>
      </c>
      <c r="F22" s="15">
        <v>1</v>
      </c>
      <c r="G22" s="14" t="s">
        <v>251</v>
      </c>
      <c r="H22" s="24">
        <v>4</v>
      </c>
      <c r="I22" s="2"/>
      <c r="J22" s="2"/>
      <c r="K22" s="2"/>
      <c r="L22" s="1" t="s">
        <v>9</v>
      </c>
    </row>
    <row r="23" spans="1:12">
      <c r="A23" s="1">
        <v>21</v>
      </c>
      <c r="B23" s="2" t="s">
        <v>82</v>
      </c>
      <c r="C23" s="1" t="s">
        <v>225</v>
      </c>
      <c r="D23" s="20" t="s">
        <v>241</v>
      </c>
      <c r="E23" s="23" t="s">
        <v>21</v>
      </c>
      <c r="F23" s="15">
        <v>1</v>
      </c>
      <c r="G23" s="14" t="s">
        <v>251</v>
      </c>
      <c r="H23" s="24">
        <v>4</v>
      </c>
      <c r="I23" s="2"/>
      <c r="J23" s="2"/>
      <c r="K23" s="2"/>
      <c r="L23" s="1" t="s">
        <v>9</v>
      </c>
    </row>
    <row r="24" spans="1:12">
      <c r="A24" s="1">
        <v>22</v>
      </c>
      <c r="B24" s="2" t="s">
        <v>79</v>
      </c>
      <c r="C24" s="1" t="s">
        <v>225</v>
      </c>
      <c r="D24" s="20" t="s">
        <v>242</v>
      </c>
      <c r="E24" s="23" t="s">
        <v>21</v>
      </c>
      <c r="F24" s="15">
        <v>1</v>
      </c>
      <c r="G24" s="14" t="s">
        <v>551</v>
      </c>
      <c r="H24" s="24">
        <v>1</v>
      </c>
      <c r="I24" s="2"/>
      <c r="J24" s="2"/>
      <c r="K24" s="2"/>
      <c r="L24" s="1" t="s">
        <v>9</v>
      </c>
    </row>
    <row r="25" spans="1:12">
      <c r="A25" s="1">
        <v>23</v>
      </c>
      <c r="B25" s="2" t="s">
        <v>575</v>
      </c>
      <c r="C25" s="1" t="s">
        <v>225</v>
      </c>
      <c r="D25" s="20" t="s">
        <v>243</v>
      </c>
      <c r="E25" s="23" t="s">
        <v>164</v>
      </c>
      <c r="F25" s="15">
        <v>1</v>
      </c>
      <c r="G25" s="14" t="s">
        <v>252</v>
      </c>
      <c r="H25" s="24">
        <v>1</v>
      </c>
      <c r="I25" s="2"/>
      <c r="J25" s="2"/>
      <c r="K25" s="2"/>
      <c r="L25" s="1" t="s">
        <v>9</v>
      </c>
    </row>
    <row r="26" spans="1:12">
      <c r="A26" s="1">
        <v>24</v>
      </c>
      <c r="B26" s="2" t="s">
        <v>85</v>
      </c>
      <c r="C26" s="1" t="s">
        <v>225</v>
      </c>
      <c r="D26" s="20" t="s">
        <v>244</v>
      </c>
      <c r="E26" s="23" t="s">
        <v>21</v>
      </c>
      <c r="F26" s="15">
        <v>1</v>
      </c>
      <c r="G26" s="14" t="s">
        <v>253</v>
      </c>
      <c r="H26" s="24">
        <v>2</v>
      </c>
      <c r="I26" s="2"/>
      <c r="J26" s="2"/>
      <c r="K26" s="2"/>
      <c r="L26" s="1" t="s">
        <v>9</v>
      </c>
    </row>
    <row r="27" spans="1:12">
      <c r="A27" s="1">
        <v>25</v>
      </c>
      <c r="B27" s="2" t="s">
        <v>82</v>
      </c>
      <c r="C27" s="1" t="s">
        <v>225</v>
      </c>
      <c r="D27" s="20" t="s">
        <v>245</v>
      </c>
      <c r="E27" s="23" t="s">
        <v>21</v>
      </c>
      <c r="F27" s="15">
        <v>1</v>
      </c>
      <c r="G27" s="14" t="s">
        <v>251</v>
      </c>
      <c r="H27" s="24">
        <v>3</v>
      </c>
      <c r="I27" s="2"/>
      <c r="J27" s="2"/>
      <c r="K27" s="2"/>
      <c r="L27" s="1" t="s">
        <v>9</v>
      </c>
    </row>
    <row r="28" spans="1:12">
      <c r="A28" s="1">
        <v>26</v>
      </c>
      <c r="B28" s="2" t="s">
        <v>576</v>
      </c>
      <c r="C28" s="1" t="s">
        <v>258</v>
      </c>
      <c r="D28" s="20" t="s">
        <v>246</v>
      </c>
      <c r="E28" s="23" t="s">
        <v>164</v>
      </c>
      <c r="F28" s="15">
        <v>1</v>
      </c>
      <c r="G28" s="14" t="s">
        <v>252</v>
      </c>
      <c r="H28" s="24">
        <v>1</v>
      </c>
      <c r="I28" s="2"/>
      <c r="J28" s="2"/>
      <c r="K28" s="2"/>
      <c r="L28" s="1" t="s">
        <v>9</v>
      </c>
    </row>
    <row r="29" spans="1:12">
      <c r="A29" s="1">
        <v>27</v>
      </c>
      <c r="B29" s="2" t="s">
        <v>577</v>
      </c>
      <c r="C29" s="1" t="s">
        <v>258</v>
      </c>
      <c r="D29" s="20" t="s">
        <v>247</v>
      </c>
      <c r="E29" s="23" t="s">
        <v>19</v>
      </c>
      <c r="F29" s="15">
        <v>1</v>
      </c>
      <c r="G29" s="14" t="s">
        <v>254</v>
      </c>
      <c r="H29" s="24">
        <v>2</v>
      </c>
      <c r="I29" s="2"/>
      <c r="J29" s="2"/>
      <c r="K29" s="2"/>
      <c r="L29" s="1" t="s">
        <v>9</v>
      </c>
    </row>
    <row r="30" spans="1:12">
      <c r="A30" s="1">
        <v>28</v>
      </c>
      <c r="B30" s="2" t="s">
        <v>82</v>
      </c>
      <c r="C30" s="1" t="s">
        <v>258</v>
      </c>
      <c r="D30" s="20" t="s">
        <v>248</v>
      </c>
      <c r="E30" s="23" t="s">
        <v>21</v>
      </c>
      <c r="F30" s="15">
        <v>1</v>
      </c>
      <c r="G30" s="14" t="s">
        <v>251</v>
      </c>
      <c r="H30" s="24">
        <v>7</v>
      </c>
      <c r="I30" s="2"/>
      <c r="J30" s="2"/>
      <c r="K30" s="2"/>
      <c r="L30" s="1" t="s">
        <v>9</v>
      </c>
    </row>
    <row r="31" spans="1:12">
      <c r="A31" s="1">
        <v>29</v>
      </c>
      <c r="B31" s="2" t="s">
        <v>82</v>
      </c>
      <c r="C31" s="1" t="s">
        <v>259</v>
      </c>
      <c r="D31" s="20" t="s">
        <v>249</v>
      </c>
      <c r="E31" s="23" t="s">
        <v>21</v>
      </c>
      <c r="F31" s="15">
        <v>1</v>
      </c>
      <c r="G31" s="14" t="s">
        <v>251</v>
      </c>
      <c r="H31" s="24">
        <v>12</v>
      </c>
      <c r="I31" s="2"/>
      <c r="J31" s="2"/>
      <c r="K31" s="2"/>
      <c r="L31" s="1" t="s">
        <v>9</v>
      </c>
    </row>
    <row r="32" spans="1:12">
      <c r="A32" s="7"/>
      <c r="B32" s="7"/>
      <c r="C32" s="7"/>
      <c r="D32" s="21"/>
      <c r="E32" s="22"/>
      <c r="F32" s="17"/>
      <c r="G32" s="16"/>
      <c r="H32" s="22">
        <f>SUM(H3:H31)</f>
        <v>209</v>
      </c>
      <c r="I32" s="7"/>
      <c r="J32" s="7"/>
      <c r="K32" s="7"/>
      <c r="L32" s="7"/>
    </row>
    <row r="33" spans="3:12">
      <c r="C33" s="7"/>
      <c r="D33" s="21"/>
      <c r="E33" s="22"/>
      <c r="F33" s="17"/>
      <c r="G33" s="16"/>
      <c r="H33" s="22"/>
      <c r="I33" s="7"/>
      <c r="J33" s="7"/>
      <c r="K33" s="7"/>
      <c r="L33" s="7"/>
    </row>
  </sheetData>
  <phoneticPr fontId="2"/>
  <dataValidations count="1">
    <dataValidation allowBlank="1" showInputMessage="1" showErrorMessage="1" sqref="D3:E31 G5:G11" xr:uid="{AA8B5FED-7327-41F6-BFE3-46F903C1D4F2}"/>
  </dataValidations>
  <pageMargins left="0.7" right="0.7" top="0.75" bottom="0.75" header="0.3" footer="0.3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3434-3CAC-48E3-B339-C8DCD2CE5ACA}">
  <sheetPr>
    <pageSetUpPr fitToPage="1"/>
  </sheetPr>
  <dimension ref="A1:L117"/>
  <sheetViews>
    <sheetView workbookViewId="0">
      <selection activeCell="K30" sqref="K30"/>
    </sheetView>
  </sheetViews>
  <sheetFormatPr defaultRowHeight="17.649999999999999"/>
  <cols>
    <col min="1" max="1" width="4.4375" customWidth="1"/>
    <col min="2" max="2" width="8.25" bestFit="1" customWidth="1"/>
    <col min="3" max="3" width="4.5" customWidth="1"/>
    <col min="4" max="4" width="23" bestFit="1" customWidth="1"/>
    <col min="5" max="5" width="21.375" bestFit="1" customWidth="1"/>
    <col min="6" max="6" width="4.8125" bestFit="1" customWidth="1"/>
    <col min="7" max="7" width="23.9375" customWidth="1"/>
    <col min="8" max="8" width="5.1875" bestFit="1" customWidth="1"/>
    <col min="9" max="9" width="12.9375" bestFit="1" customWidth="1"/>
    <col min="10" max="10" width="15.4375" bestFit="1" customWidth="1"/>
    <col min="11" max="11" width="22.4375" customWidth="1"/>
    <col min="12" max="12" width="11.8125" bestFit="1" customWidth="1"/>
  </cols>
  <sheetData>
    <row r="1" spans="1:12" ht="22.9">
      <c r="A1" s="3" t="s">
        <v>15</v>
      </c>
    </row>
    <row r="2" spans="1:12">
      <c r="A2" s="1" t="s">
        <v>0</v>
      </c>
      <c r="B2" s="1" t="s">
        <v>14</v>
      </c>
      <c r="C2" s="1" t="s">
        <v>1</v>
      </c>
      <c r="D2" s="1" t="s">
        <v>13</v>
      </c>
      <c r="E2" s="1" t="s">
        <v>2</v>
      </c>
      <c r="F2" s="1" t="s">
        <v>3</v>
      </c>
      <c r="G2" s="1" t="s">
        <v>6</v>
      </c>
      <c r="H2" s="1" t="s">
        <v>4</v>
      </c>
      <c r="I2" s="1" t="s">
        <v>8</v>
      </c>
      <c r="J2" s="1" t="s">
        <v>5</v>
      </c>
      <c r="K2" s="1" t="s">
        <v>10</v>
      </c>
      <c r="L2" s="1" t="s">
        <v>7</v>
      </c>
    </row>
    <row r="3" spans="1:12">
      <c r="A3" s="1">
        <v>1</v>
      </c>
      <c r="B3" s="1"/>
      <c r="C3" s="1" t="s">
        <v>171</v>
      </c>
      <c r="D3" s="1"/>
      <c r="E3" s="1"/>
      <c r="F3" s="4"/>
      <c r="G3" s="1"/>
      <c r="H3" s="1"/>
      <c r="I3" s="1"/>
      <c r="J3" s="1"/>
      <c r="K3" s="1"/>
      <c r="L3" s="1" t="s">
        <v>9</v>
      </c>
    </row>
    <row r="4" spans="1:12">
      <c r="A4" s="1">
        <v>2</v>
      </c>
      <c r="B4" s="1"/>
      <c r="C4" s="1" t="s">
        <v>171</v>
      </c>
      <c r="D4" s="1"/>
      <c r="E4" s="1"/>
      <c r="F4" s="4"/>
      <c r="G4" s="1"/>
      <c r="H4" s="1"/>
      <c r="I4" s="1"/>
      <c r="J4" s="1"/>
      <c r="K4" s="1"/>
      <c r="L4" s="1" t="s">
        <v>9</v>
      </c>
    </row>
    <row r="5" spans="1:12">
      <c r="A5" s="1">
        <v>3</v>
      </c>
      <c r="B5" s="1"/>
      <c r="C5" s="1" t="s">
        <v>171</v>
      </c>
      <c r="D5" s="1"/>
      <c r="E5" s="1"/>
      <c r="F5" s="4"/>
      <c r="G5" s="1"/>
      <c r="H5" s="1"/>
      <c r="I5" s="1"/>
      <c r="J5" s="1"/>
      <c r="K5" s="1"/>
      <c r="L5" s="1" t="s">
        <v>9</v>
      </c>
    </row>
    <row r="6" spans="1:12">
      <c r="A6" s="1">
        <v>4</v>
      </c>
      <c r="B6" s="1"/>
      <c r="C6" s="1" t="s">
        <v>171</v>
      </c>
      <c r="D6" s="1"/>
      <c r="E6" s="1"/>
      <c r="F6" s="4"/>
      <c r="G6" s="1"/>
      <c r="H6" s="1"/>
      <c r="I6" s="1"/>
      <c r="J6" s="1"/>
      <c r="K6" s="1"/>
      <c r="L6" s="1" t="s">
        <v>9</v>
      </c>
    </row>
    <row r="7" spans="1:12">
      <c r="A7" s="1">
        <v>5</v>
      </c>
      <c r="B7" s="1"/>
      <c r="C7" s="1" t="s">
        <v>171</v>
      </c>
      <c r="D7" s="1"/>
      <c r="E7" s="1"/>
      <c r="F7" s="4"/>
      <c r="G7" s="1"/>
      <c r="H7" s="1"/>
      <c r="I7" s="1"/>
      <c r="J7" s="1"/>
      <c r="K7" s="1"/>
      <c r="L7" s="1" t="s">
        <v>9</v>
      </c>
    </row>
    <row r="8" spans="1:12">
      <c r="A8" s="1">
        <v>6</v>
      </c>
      <c r="B8" s="1"/>
      <c r="C8" s="1" t="s">
        <v>171</v>
      </c>
      <c r="D8" s="1"/>
      <c r="E8" s="1"/>
      <c r="F8" s="4"/>
      <c r="G8" s="1"/>
      <c r="H8" s="1"/>
      <c r="I8" s="1"/>
      <c r="J8" s="1"/>
      <c r="K8" s="1"/>
      <c r="L8" s="1" t="s">
        <v>9</v>
      </c>
    </row>
    <row r="9" spans="1:12">
      <c r="A9" s="1">
        <v>7</v>
      </c>
      <c r="B9" s="1"/>
      <c r="C9" s="1" t="s">
        <v>171</v>
      </c>
      <c r="D9" s="1"/>
      <c r="E9" s="1"/>
      <c r="F9" s="4"/>
      <c r="G9" s="1"/>
      <c r="H9" s="1"/>
      <c r="I9" s="1"/>
      <c r="J9" s="1"/>
      <c r="K9" s="1"/>
      <c r="L9" s="1" t="s">
        <v>9</v>
      </c>
    </row>
    <row r="10" spans="1:12">
      <c r="A10" s="1">
        <v>8</v>
      </c>
      <c r="B10" s="1"/>
      <c r="C10" s="1" t="s">
        <v>171</v>
      </c>
      <c r="D10" s="1"/>
      <c r="E10" s="1"/>
      <c r="F10" s="4"/>
      <c r="G10" s="2"/>
      <c r="H10" s="1"/>
      <c r="I10" s="1"/>
      <c r="J10" s="1"/>
      <c r="K10" s="2" t="s">
        <v>32</v>
      </c>
      <c r="L10" s="1" t="s">
        <v>9</v>
      </c>
    </row>
    <row r="11" spans="1:12">
      <c r="A11" s="1">
        <v>9</v>
      </c>
      <c r="B11" s="1"/>
      <c r="C11" s="1" t="s">
        <v>171</v>
      </c>
      <c r="D11" s="1"/>
      <c r="E11" s="1"/>
      <c r="F11" s="5"/>
      <c r="G11" s="1"/>
      <c r="H11" s="2"/>
      <c r="I11" s="2"/>
      <c r="J11" s="2"/>
      <c r="K11" s="2"/>
      <c r="L11" s="1" t="s">
        <v>9</v>
      </c>
    </row>
    <row r="12" spans="1:12">
      <c r="A12" s="1">
        <v>10</v>
      </c>
      <c r="B12" s="2"/>
      <c r="C12" s="1" t="s">
        <v>171</v>
      </c>
      <c r="D12" s="1"/>
      <c r="E12" s="1"/>
      <c r="F12" s="5"/>
      <c r="G12" s="2"/>
      <c r="H12" s="2"/>
      <c r="I12" s="2"/>
      <c r="J12" s="2"/>
      <c r="K12" s="2" t="s">
        <v>32</v>
      </c>
      <c r="L12" s="1" t="s">
        <v>9</v>
      </c>
    </row>
    <row r="13" spans="1:12">
      <c r="A13" s="1">
        <v>11</v>
      </c>
      <c r="B13" s="2"/>
      <c r="C13" s="1" t="s">
        <v>171</v>
      </c>
      <c r="D13" s="2"/>
      <c r="E13" s="2"/>
      <c r="F13" s="5"/>
      <c r="G13" s="2"/>
      <c r="H13" s="2"/>
      <c r="I13" s="2"/>
      <c r="J13" s="2"/>
      <c r="K13" s="2"/>
      <c r="L13" s="1" t="s">
        <v>9</v>
      </c>
    </row>
    <row r="14" spans="1:12">
      <c r="A14" s="1">
        <v>12</v>
      </c>
      <c r="B14" s="2"/>
      <c r="C14" s="1" t="s">
        <v>171</v>
      </c>
      <c r="D14" s="2"/>
      <c r="E14" s="2"/>
      <c r="F14" s="5"/>
      <c r="G14" s="2"/>
      <c r="H14" s="2"/>
      <c r="I14" s="2"/>
      <c r="J14" s="2"/>
      <c r="K14" s="2"/>
      <c r="L14" s="1" t="s">
        <v>9</v>
      </c>
    </row>
    <row r="15" spans="1:12">
      <c r="A15" s="1">
        <v>13</v>
      </c>
      <c r="B15" s="2"/>
      <c r="C15" s="1" t="s">
        <v>171</v>
      </c>
      <c r="D15" s="2"/>
      <c r="E15" s="2"/>
      <c r="F15" s="5"/>
      <c r="G15" s="2"/>
      <c r="H15" s="2"/>
      <c r="I15" s="2"/>
      <c r="J15" s="2"/>
      <c r="K15" s="2"/>
      <c r="L15" s="1" t="s">
        <v>9</v>
      </c>
    </row>
    <row r="16" spans="1:12">
      <c r="A16" s="1">
        <v>14</v>
      </c>
      <c r="B16" s="2"/>
      <c r="C16" s="1" t="s">
        <v>171</v>
      </c>
      <c r="D16" s="2"/>
      <c r="E16" s="2"/>
      <c r="F16" s="5"/>
      <c r="G16" s="2"/>
      <c r="H16" s="2"/>
      <c r="I16" s="2"/>
      <c r="J16" s="2"/>
      <c r="K16" s="2"/>
      <c r="L16" s="1" t="s">
        <v>9</v>
      </c>
    </row>
    <row r="17" spans="1:12">
      <c r="A17" s="1">
        <v>15</v>
      </c>
      <c r="B17" s="2"/>
      <c r="C17" s="1" t="s">
        <v>171</v>
      </c>
      <c r="D17" s="2"/>
      <c r="E17" s="2"/>
      <c r="F17" s="5"/>
      <c r="G17" s="2"/>
      <c r="H17" s="2"/>
      <c r="I17" s="2"/>
      <c r="J17" s="2"/>
      <c r="K17" s="2"/>
      <c r="L17" s="1" t="s">
        <v>9</v>
      </c>
    </row>
    <row r="18" spans="1:12">
      <c r="A18" s="1">
        <v>16</v>
      </c>
      <c r="B18" s="2"/>
      <c r="C18" s="1" t="s">
        <v>171</v>
      </c>
      <c r="D18" s="2"/>
      <c r="E18" s="2"/>
      <c r="F18" s="5"/>
      <c r="G18" s="2"/>
      <c r="H18" s="2"/>
      <c r="I18" s="2"/>
      <c r="J18" s="2"/>
      <c r="K18" s="2"/>
      <c r="L18" s="1" t="s">
        <v>9</v>
      </c>
    </row>
    <row r="19" spans="1:12">
      <c r="A19" s="1">
        <v>17</v>
      </c>
      <c r="B19" s="2"/>
      <c r="C19" s="1" t="s">
        <v>171</v>
      </c>
      <c r="D19" s="2"/>
      <c r="E19" s="2"/>
      <c r="F19" s="5"/>
      <c r="G19" s="2"/>
      <c r="H19" s="2"/>
      <c r="I19" s="2"/>
      <c r="J19" s="2"/>
      <c r="K19" s="2"/>
      <c r="L19" s="1" t="s">
        <v>9</v>
      </c>
    </row>
    <row r="20" spans="1:12">
      <c r="A20" s="1">
        <v>18</v>
      </c>
      <c r="B20" s="2"/>
      <c r="C20" s="1" t="s">
        <v>171</v>
      </c>
      <c r="D20" s="2"/>
      <c r="E20" s="2"/>
      <c r="F20" s="5"/>
      <c r="G20" s="2"/>
      <c r="H20" s="2"/>
      <c r="I20" s="2"/>
      <c r="J20" s="2"/>
      <c r="K20" s="2"/>
      <c r="L20" s="1" t="s">
        <v>9</v>
      </c>
    </row>
    <row r="21" spans="1:12">
      <c r="A21" s="1">
        <v>19</v>
      </c>
      <c r="B21" s="2"/>
      <c r="C21" s="1" t="s">
        <v>171</v>
      </c>
      <c r="D21" s="2"/>
      <c r="E21" s="2"/>
      <c r="F21" s="5"/>
      <c r="G21" s="2"/>
      <c r="H21" s="2"/>
      <c r="I21" s="2"/>
      <c r="J21" s="2"/>
      <c r="K21" s="2"/>
      <c r="L21" s="1" t="s">
        <v>9</v>
      </c>
    </row>
    <row r="22" spans="1:12">
      <c r="A22" s="1">
        <v>20</v>
      </c>
      <c r="B22" s="2"/>
      <c r="C22" s="1" t="s">
        <v>171</v>
      </c>
      <c r="D22" s="2"/>
      <c r="E22" s="2"/>
      <c r="F22" s="5"/>
      <c r="G22" s="2"/>
      <c r="H22" s="2"/>
      <c r="I22" s="2"/>
      <c r="J22" s="2"/>
      <c r="K22" s="2"/>
      <c r="L22" s="1" t="s">
        <v>9</v>
      </c>
    </row>
    <row r="23" spans="1:12">
      <c r="A23" s="1">
        <v>21</v>
      </c>
      <c r="B23" s="2"/>
      <c r="C23" s="1" t="s">
        <v>171</v>
      </c>
      <c r="D23" s="2"/>
      <c r="E23" s="2"/>
      <c r="F23" s="5"/>
      <c r="G23" s="2"/>
      <c r="H23" s="2"/>
      <c r="I23" s="2"/>
      <c r="J23" s="2"/>
      <c r="K23" s="2"/>
      <c r="L23" s="1" t="s">
        <v>9</v>
      </c>
    </row>
    <row r="24" spans="1:12">
      <c r="A24" s="1">
        <v>22</v>
      </c>
      <c r="B24" s="2"/>
      <c r="C24" s="1" t="s">
        <v>171</v>
      </c>
      <c r="D24" s="2"/>
      <c r="E24" s="2"/>
      <c r="F24" s="5"/>
      <c r="G24" s="2"/>
      <c r="H24" s="2"/>
      <c r="I24" s="2"/>
      <c r="J24" s="2"/>
      <c r="K24" s="2"/>
      <c r="L24" s="1" t="s">
        <v>9</v>
      </c>
    </row>
    <row r="25" spans="1:12">
      <c r="A25" s="1">
        <v>23</v>
      </c>
      <c r="B25" s="2"/>
      <c r="C25" s="1" t="s">
        <v>171</v>
      </c>
      <c r="D25" s="2"/>
      <c r="E25" s="2"/>
      <c r="F25" s="5"/>
      <c r="G25" s="2"/>
      <c r="H25" s="2"/>
      <c r="I25" s="2"/>
      <c r="J25" s="2"/>
      <c r="K25" s="2"/>
      <c r="L25" s="1" t="s">
        <v>9</v>
      </c>
    </row>
    <row r="26" spans="1:12">
      <c r="A26" s="1">
        <v>24</v>
      </c>
      <c r="B26" s="2"/>
      <c r="C26" s="1" t="s">
        <v>171</v>
      </c>
      <c r="D26" s="2"/>
      <c r="E26" s="2"/>
      <c r="F26" s="5"/>
      <c r="G26" s="2"/>
      <c r="H26" s="2"/>
      <c r="I26" s="2"/>
      <c r="J26" s="2"/>
      <c r="K26" s="2"/>
      <c r="L26" s="1" t="s">
        <v>9</v>
      </c>
    </row>
    <row r="27" spans="1:12">
      <c r="A27" s="1">
        <v>25</v>
      </c>
      <c r="B27" s="2"/>
      <c r="C27" s="1" t="s">
        <v>171</v>
      </c>
      <c r="D27" s="2"/>
      <c r="E27" s="2"/>
      <c r="F27" s="5"/>
      <c r="G27" s="2"/>
      <c r="H27" s="2"/>
      <c r="I27" s="2"/>
      <c r="J27" s="2"/>
      <c r="K27" s="2"/>
      <c r="L27" s="1" t="s">
        <v>9</v>
      </c>
    </row>
    <row r="28" spans="1:12">
      <c r="A28" s="1">
        <v>26</v>
      </c>
      <c r="B28" s="2"/>
      <c r="C28" s="1" t="s">
        <v>171</v>
      </c>
      <c r="D28" s="2"/>
      <c r="E28" s="2"/>
      <c r="F28" s="5"/>
      <c r="G28" s="2"/>
      <c r="H28" s="2"/>
      <c r="I28" s="2"/>
      <c r="J28" s="2"/>
      <c r="K28" s="2"/>
      <c r="L28" s="1" t="s">
        <v>9</v>
      </c>
    </row>
    <row r="29" spans="1:12">
      <c r="A29" s="1">
        <v>27</v>
      </c>
      <c r="B29" s="1"/>
      <c r="C29" s="1" t="s">
        <v>171</v>
      </c>
      <c r="D29" s="2"/>
      <c r="E29" s="2"/>
      <c r="F29" s="5"/>
      <c r="G29" s="2"/>
      <c r="H29" s="2"/>
      <c r="I29" s="2"/>
      <c r="J29" s="2"/>
      <c r="K29" s="2"/>
      <c r="L29" s="1" t="s">
        <v>9</v>
      </c>
    </row>
    <row r="30" spans="1:12">
      <c r="A30" s="1">
        <v>28</v>
      </c>
      <c r="B30" s="1"/>
      <c r="C30" s="1" t="s">
        <v>171</v>
      </c>
      <c r="D30" s="2"/>
      <c r="E30" s="2"/>
      <c r="F30" s="5"/>
      <c r="G30" s="2"/>
      <c r="H30" s="2"/>
      <c r="I30" s="2"/>
      <c r="J30" s="2"/>
      <c r="K30" s="2"/>
      <c r="L30" s="1" t="s">
        <v>9</v>
      </c>
    </row>
    <row r="31" spans="1:12">
      <c r="A31" s="1">
        <v>29</v>
      </c>
      <c r="B31" s="1"/>
      <c r="C31" s="1" t="s">
        <v>171</v>
      </c>
      <c r="D31" s="2"/>
      <c r="E31" s="2"/>
      <c r="F31" s="5"/>
      <c r="G31" s="2"/>
      <c r="H31" s="2"/>
      <c r="I31" s="2"/>
      <c r="J31" s="2"/>
      <c r="K31" s="2"/>
      <c r="L31" s="1" t="s">
        <v>9</v>
      </c>
    </row>
    <row r="32" spans="1:12">
      <c r="A32" s="1">
        <v>30</v>
      </c>
      <c r="B32" s="1"/>
      <c r="C32" s="1" t="s">
        <v>171</v>
      </c>
      <c r="D32" s="2"/>
      <c r="E32" s="1"/>
      <c r="F32" s="5"/>
      <c r="G32" s="2"/>
      <c r="H32" s="2"/>
      <c r="I32" s="2"/>
      <c r="J32" s="2"/>
      <c r="K32" s="2"/>
      <c r="L32" s="1" t="s">
        <v>9</v>
      </c>
    </row>
    <row r="33" spans="1:12">
      <c r="A33" s="1">
        <v>31</v>
      </c>
      <c r="B33" s="1"/>
      <c r="C33" s="1" t="s">
        <v>171</v>
      </c>
      <c r="D33" s="2"/>
      <c r="E33" s="2"/>
      <c r="F33" s="5"/>
      <c r="G33" s="2"/>
      <c r="H33" s="2"/>
      <c r="I33" s="2"/>
      <c r="J33" s="2"/>
      <c r="K33" s="2"/>
      <c r="L33" s="1" t="s">
        <v>9</v>
      </c>
    </row>
    <row r="34" spans="1:12">
      <c r="A34" s="1">
        <v>32</v>
      </c>
      <c r="B34" s="1"/>
      <c r="C34" s="1" t="s">
        <v>171</v>
      </c>
      <c r="D34" s="2"/>
      <c r="E34" s="2"/>
      <c r="F34" s="5"/>
      <c r="G34" s="2"/>
      <c r="H34" s="2"/>
      <c r="I34" s="2"/>
      <c r="J34" s="2"/>
      <c r="K34" s="2"/>
      <c r="L34" s="1" t="s">
        <v>9</v>
      </c>
    </row>
    <row r="35" spans="1:12">
      <c r="A35" s="1">
        <v>33</v>
      </c>
      <c r="B35" s="1"/>
      <c r="C35" s="1" t="s">
        <v>171</v>
      </c>
      <c r="D35" s="2"/>
      <c r="E35" s="1"/>
      <c r="F35" s="5"/>
      <c r="G35" s="1"/>
      <c r="H35" s="2"/>
      <c r="I35" s="2"/>
      <c r="J35" s="2"/>
      <c r="K35" s="2"/>
      <c r="L35" s="1" t="s">
        <v>9</v>
      </c>
    </row>
    <row r="36" spans="1:12">
      <c r="A36" s="1">
        <v>34</v>
      </c>
      <c r="B36" s="2"/>
      <c r="C36" s="1" t="s">
        <v>171</v>
      </c>
      <c r="D36" s="2"/>
      <c r="E36" s="1"/>
      <c r="F36" s="5"/>
      <c r="G36" s="1"/>
      <c r="H36" s="2"/>
      <c r="I36" s="2"/>
      <c r="J36" s="2"/>
      <c r="K36" s="2"/>
      <c r="L36" s="1" t="s">
        <v>9</v>
      </c>
    </row>
    <row r="37" spans="1:12">
      <c r="A37" s="1">
        <v>35</v>
      </c>
      <c r="B37" s="2"/>
      <c r="C37" s="1" t="s">
        <v>171</v>
      </c>
      <c r="D37" s="2"/>
      <c r="E37" s="1"/>
      <c r="F37" s="5"/>
      <c r="G37" s="2"/>
      <c r="H37" s="2"/>
      <c r="I37" s="2"/>
      <c r="J37" s="2"/>
      <c r="K37" s="2"/>
      <c r="L37" s="1" t="s">
        <v>9</v>
      </c>
    </row>
    <row r="38" spans="1:12">
      <c r="A38" s="1">
        <v>36</v>
      </c>
      <c r="B38" s="2"/>
      <c r="C38" s="1" t="s">
        <v>171</v>
      </c>
      <c r="D38" s="2"/>
      <c r="E38" s="2"/>
      <c r="F38" s="5"/>
      <c r="G38" s="2"/>
      <c r="H38" s="2"/>
      <c r="I38" s="2"/>
      <c r="J38" s="2"/>
      <c r="K38" s="2"/>
      <c r="L38" s="1" t="s">
        <v>9</v>
      </c>
    </row>
    <row r="39" spans="1:12">
      <c r="A39" s="1">
        <v>37</v>
      </c>
      <c r="B39" s="2"/>
      <c r="C39" s="1" t="s">
        <v>171</v>
      </c>
      <c r="D39" s="2"/>
      <c r="E39" s="1"/>
      <c r="F39" s="5"/>
      <c r="G39" s="2"/>
      <c r="H39" s="2"/>
      <c r="I39" s="2"/>
      <c r="J39" s="2"/>
      <c r="K39" s="2"/>
      <c r="L39" s="1" t="s">
        <v>9</v>
      </c>
    </row>
    <row r="40" spans="1:12">
      <c r="A40" s="1">
        <v>38</v>
      </c>
      <c r="B40" s="2"/>
      <c r="C40" s="1" t="s">
        <v>171</v>
      </c>
      <c r="D40" s="2"/>
      <c r="E40" s="2"/>
      <c r="F40" s="5"/>
      <c r="G40" s="2"/>
      <c r="H40" s="2"/>
      <c r="I40" s="2"/>
      <c r="J40" s="2"/>
      <c r="K40" s="2"/>
      <c r="L40" s="1" t="s">
        <v>9</v>
      </c>
    </row>
    <row r="41" spans="1:12">
      <c r="A41" s="1">
        <v>39</v>
      </c>
      <c r="B41" s="2"/>
      <c r="C41" s="1" t="s">
        <v>171</v>
      </c>
      <c r="D41" s="2"/>
      <c r="E41" s="2"/>
      <c r="F41" s="5"/>
      <c r="G41" s="2"/>
      <c r="H41" s="2"/>
      <c r="I41" s="2"/>
      <c r="J41" s="2"/>
      <c r="K41" s="2"/>
      <c r="L41" s="1" t="s">
        <v>9</v>
      </c>
    </row>
    <row r="42" spans="1:12">
      <c r="A42" s="1">
        <v>40</v>
      </c>
      <c r="B42" s="2"/>
      <c r="C42" s="1" t="s">
        <v>171</v>
      </c>
      <c r="D42" s="2"/>
      <c r="E42" s="1"/>
      <c r="F42" s="5"/>
      <c r="G42" s="2"/>
      <c r="H42" s="2"/>
      <c r="I42" s="2"/>
      <c r="J42" s="2"/>
      <c r="K42" s="2"/>
      <c r="L42" s="1" t="s">
        <v>9</v>
      </c>
    </row>
    <row r="43" spans="1:12" s="10" customFormat="1">
      <c r="A43" s="1">
        <v>41</v>
      </c>
      <c r="B43" s="2"/>
      <c r="C43" s="2" t="s">
        <v>171</v>
      </c>
      <c r="D43" s="2"/>
      <c r="E43" s="2"/>
      <c r="F43" s="5"/>
      <c r="G43" s="2"/>
      <c r="H43" s="2"/>
      <c r="I43" s="2"/>
      <c r="J43" s="2"/>
      <c r="K43" s="2"/>
      <c r="L43" s="1" t="s">
        <v>9</v>
      </c>
    </row>
    <row r="44" spans="1:12">
      <c r="A44" s="1">
        <v>42</v>
      </c>
      <c r="B44" s="2"/>
      <c r="C44" s="1" t="s">
        <v>171</v>
      </c>
      <c r="D44" s="2"/>
      <c r="E44" s="1"/>
      <c r="F44" s="5"/>
      <c r="G44" s="2"/>
      <c r="H44" s="2"/>
      <c r="I44" s="2"/>
      <c r="J44" s="2"/>
      <c r="K44" s="2"/>
      <c r="L44" s="1" t="s">
        <v>9</v>
      </c>
    </row>
    <row r="45" spans="1:12">
      <c r="A45" s="1">
        <v>43</v>
      </c>
      <c r="B45" s="2"/>
      <c r="C45" s="1" t="s">
        <v>171</v>
      </c>
      <c r="D45" s="2"/>
      <c r="E45" s="1"/>
      <c r="F45" s="5"/>
      <c r="G45" s="2"/>
      <c r="H45" s="2"/>
      <c r="I45" s="2"/>
      <c r="J45" s="2"/>
      <c r="K45" s="2"/>
      <c r="L45" s="1" t="s">
        <v>9</v>
      </c>
    </row>
    <row r="46" spans="1:12">
      <c r="A46" s="1">
        <v>44</v>
      </c>
      <c r="B46" s="2"/>
      <c r="C46" s="1" t="s">
        <v>171</v>
      </c>
      <c r="D46" s="2"/>
      <c r="E46" s="1"/>
      <c r="F46" s="5"/>
      <c r="G46" s="2"/>
      <c r="H46" s="2"/>
      <c r="I46" s="2"/>
      <c r="J46" s="2"/>
      <c r="K46" s="2"/>
      <c r="L46" s="1" t="s">
        <v>9</v>
      </c>
    </row>
    <row r="47" spans="1:12">
      <c r="A47" s="1">
        <v>45</v>
      </c>
      <c r="B47" s="2"/>
      <c r="C47" s="1" t="s">
        <v>171</v>
      </c>
      <c r="D47" s="2"/>
      <c r="E47" s="1"/>
      <c r="F47" s="5"/>
      <c r="G47" s="2"/>
      <c r="H47" s="2"/>
      <c r="I47" s="2"/>
      <c r="J47" s="2"/>
      <c r="K47" s="2"/>
      <c r="L47" s="1" t="s">
        <v>9</v>
      </c>
    </row>
    <row r="48" spans="1:12">
      <c r="A48" s="1">
        <v>46</v>
      </c>
      <c r="B48" s="2"/>
      <c r="C48" s="1" t="s">
        <v>171</v>
      </c>
      <c r="D48" s="2"/>
      <c r="E48" s="2"/>
      <c r="F48" s="5"/>
      <c r="G48" s="2"/>
      <c r="H48" s="2"/>
      <c r="I48" s="2"/>
      <c r="J48" s="2"/>
      <c r="K48" s="2"/>
      <c r="L48" s="1" t="s">
        <v>9</v>
      </c>
    </row>
    <row r="49" spans="1:12">
      <c r="A49" s="1">
        <v>47</v>
      </c>
      <c r="B49" s="2"/>
      <c r="C49" s="1" t="s">
        <v>171</v>
      </c>
      <c r="D49" s="2"/>
      <c r="E49" s="2"/>
      <c r="F49" s="5"/>
      <c r="G49" s="2"/>
      <c r="H49" s="2"/>
      <c r="I49" s="2"/>
      <c r="J49" s="2"/>
      <c r="K49" s="2"/>
      <c r="L49" s="1" t="s">
        <v>9</v>
      </c>
    </row>
    <row r="50" spans="1:12">
      <c r="A50" s="1">
        <v>48</v>
      </c>
      <c r="B50" s="2"/>
      <c r="C50" s="1" t="s">
        <v>171</v>
      </c>
      <c r="D50" s="2"/>
      <c r="E50" s="2"/>
      <c r="F50" s="5"/>
      <c r="G50" s="2"/>
      <c r="H50" s="2"/>
      <c r="I50" s="2"/>
      <c r="J50" s="2"/>
      <c r="K50" s="2"/>
      <c r="L50" s="1" t="s">
        <v>9</v>
      </c>
    </row>
    <row r="51" spans="1:12">
      <c r="A51" s="1">
        <v>49</v>
      </c>
      <c r="B51" s="2"/>
      <c r="C51" s="1" t="s">
        <v>171</v>
      </c>
      <c r="D51" s="1"/>
      <c r="E51" s="2"/>
      <c r="F51" s="4"/>
      <c r="G51" s="1"/>
      <c r="H51" s="1"/>
      <c r="I51" s="1"/>
      <c r="J51" s="1"/>
      <c r="K51" s="1"/>
      <c r="L51" s="1" t="s">
        <v>9</v>
      </c>
    </row>
    <row r="52" spans="1:12">
      <c r="A52" s="1">
        <v>50</v>
      </c>
      <c r="B52" s="1"/>
      <c r="C52" s="1" t="s">
        <v>171</v>
      </c>
      <c r="D52" s="1"/>
      <c r="E52" s="1"/>
      <c r="F52" s="4"/>
      <c r="G52" s="2"/>
      <c r="H52" s="1"/>
      <c r="I52" s="1"/>
      <c r="J52" s="1"/>
      <c r="K52" s="2"/>
      <c r="L52" s="1" t="s">
        <v>9</v>
      </c>
    </row>
    <row r="53" spans="1:12">
      <c r="A53" s="1">
        <v>51</v>
      </c>
      <c r="B53" s="1"/>
      <c r="C53" s="1" t="s">
        <v>171</v>
      </c>
      <c r="D53" s="1"/>
      <c r="E53" s="2"/>
      <c r="F53" s="4"/>
      <c r="G53" s="1"/>
      <c r="H53" s="1"/>
      <c r="I53" s="1"/>
      <c r="J53" s="1"/>
      <c r="K53" s="1"/>
      <c r="L53" s="1" t="s">
        <v>9</v>
      </c>
    </row>
    <row r="54" spans="1:12">
      <c r="A54" s="1">
        <v>52</v>
      </c>
      <c r="B54" s="1"/>
      <c r="C54" s="1" t="s">
        <v>171</v>
      </c>
      <c r="D54" s="1"/>
      <c r="E54" s="2"/>
      <c r="F54" s="5"/>
      <c r="G54" s="2"/>
      <c r="H54" s="2"/>
      <c r="I54" s="2"/>
      <c r="J54" s="2"/>
      <c r="K54" s="2"/>
      <c r="L54" s="1" t="s">
        <v>9</v>
      </c>
    </row>
    <row r="55" spans="1:12">
      <c r="A55" s="1">
        <v>53</v>
      </c>
      <c r="B55" s="1"/>
      <c r="C55" s="1" t="s">
        <v>171</v>
      </c>
      <c r="D55" s="1"/>
      <c r="E55" s="1"/>
      <c r="F55" s="4"/>
      <c r="G55" s="1"/>
      <c r="H55" s="1"/>
      <c r="I55" s="1"/>
      <c r="J55" s="1"/>
      <c r="K55" s="1"/>
      <c r="L55" s="1" t="s">
        <v>9</v>
      </c>
    </row>
    <row r="56" spans="1:12">
      <c r="A56" s="1">
        <v>54</v>
      </c>
      <c r="B56" s="1"/>
      <c r="C56" s="1" t="s">
        <v>171</v>
      </c>
      <c r="D56" s="1"/>
      <c r="E56" s="1"/>
      <c r="F56" s="5"/>
      <c r="G56" s="1"/>
      <c r="H56" s="1"/>
      <c r="I56" s="1"/>
      <c r="J56" s="1"/>
      <c r="K56" s="1"/>
      <c r="L56" s="1" t="s">
        <v>9</v>
      </c>
    </row>
    <row r="57" spans="1:12">
      <c r="A57" s="1">
        <v>55</v>
      </c>
      <c r="B57" s="1"/>
      <c r="C57" s="1" t="s">
        <v>171</v>
      </c>
      <c r="D57" s="1"/>
      <c r="E57" s="1"/>
      <c r="F57" s="5"/>
      <c r="G57" s="1"/>
      <c r="H57" s="1"/>
      <c r="I57" s="1"/>
      <c r="J57" s="1"/>
      <c r="K57" s="1"/>
      <c r="L57" s="1" t="s">
        <v>9</v>
      </c>
    </row>
    <row r="58" spans="1:12">
      <c r="A58" s="1">
        <v>56</v>
      </c>
      <c r="B58" s="1"/>
      <c r="C58" s="1" t="s">
        <v>171</v>
      </c>
      <c r="D58" s="1"/>
      <c r="E58" s="1"/>
      <c r="F58" s="4"/>
      <c r="G58" s="1"/>
      <c r="H58" s="1"/>
      <c r="I58" s="1"/>
      <c r="J58" s="1"/>
      <c r="K58" s="1"/>
      <c r="L58" s="1" t="s">
        <v>9</v>
      </c>
    </row>
    <row r="59" spans="1:12">
      <c r="A59" s="1">
        <v>57</v>
      </c>
      <c r="B59" s="1"/>
      <c r="C59" s="1" t="s">
        <v>171</v>
      </c>
      <c r="D59" s="1"/>
      <c r="E59" s="1"/>
      <c r="F59" s="4"/>
      <c r="G59" s="1"/>
      <c r="H59" s="1"/>
      <c r="I59" s="1"/>
      <c r="J59" s="1"/>
      <c r="K59" s="1"/>
      <c r="L59" s="1" t="s">
        <v>9</v>
      </c>
    </row>
    <row r="60" spans="1:12">
      <c r="A60" s="1">
        <v>58</v>
      </c>
      <c r="B60" s="1"/>
      <c r="C60" s="1" t="s">
        <v>171</v>
      </c>
      <c r="D60" s="1"/>
      <c r="E60" s="1"/>
      <c r="F60" s="4"/>
      <c r="G60" s="1"/>
      <c r="H60" s="1"/>
      <c r="I60" s="1"/>
      <c r="J60" s="1"/>
      <c r="K60" s="1"/>
      <c r="L60" s="1" t="s">
        <v>9</v>
      </c>
    </row>
    <row r="61" spans="1:12">
      <c r="A61" s="1">
        <v>59</v>
      </c>
      <c r="B61" s="1"/>
      <c r="C61" s="1" t="s">
        <v>171</v>
      </c>
      <c r="D61" s="1"/>
      <c r="E61" s="1"/>
      <c r="F61" s="5"/>
      <c r="G61" s="2"/>
      <c r="H61" s="1"/>
      <c r="I61" s="1"/>
      <c r="J61" s="1"/>
      <c r="K61" s="1"/>
      <c r="L61" s="1" t="s">
        <v>9</v>
      </c>
    </row>
    <row r="62" spans="1:12">
      <c r="A62" s="1">
        <v>60</v>
      </c>
      <c r="B62" s="1"/>
      <c r="C62" s="1" t="s">
        <v>171</v>
      </c>
      <c r="D62" s="2"/>
      <c r="E62" s="1"/>
      <c r="F62" s="5"/>
      <c r="G62" s="2"/>
      <c r="H62" s="1"/>
      <c r="I62" s="1"/>
      <c r="J62" s="1"/>
      <c r="K62" s="1"/>
      <c r="L62" s="1" t="s">
        <v>9</v>
      </c>
    </row>
    <row r="63" spans="1:12">
      <c r="A63" s="1">
        <v>61</v>
      </c>
      <c r="B63" s="1"/>
      <c r="C63" s="1" t="s">
        <v>171</v>
      </c>
      <c r="D63" s="2"/>
      <c r="E63" s="1"/>
      <c r="F63" s="4"/>
      <c r="G63" s="1"/>
      <c r="H63" s="1"/>
      <c r="I63" s="1"/>
      <c r="J63" s="1"/>
      <c r="K63" s="1"/>
      <c r="L63" s="1" t="s">
        <v>9</v>
      </c>
    </row>
    <row r="64" spans="1:12">
      <c r="A64" s="1">
        <v>62</v>
      </c>
      <c r="B64" s="1"/>
      <c r="C64" s="1" t="s">
        <v>171</v>
      </c>
      <c r="D64" s="2"/>
      <c r="E64" s="1"/>
      <c r="F64" s="4"/>
      <c r="G64" s="1"/>
      <c r="H64" s="1"/>
      <c r="I64" s="1"/>
      <c r="J64" s="1"/>
      <c r="K64" s="2" t="s">
        <v>32</v>
      </c>
      <c r="L64" s="1" t="s">
        <v>9</v>
      </c>
    </row>
    <row r="65" spans="1:12">
      <c r="A65" s="1">
        <v>63</v>
      </c>
      <c r="B65" s="1"/>
      <c r="C65" s="1" t="s">
        <v>171</v>
      </c>
      <c r="D65" s="2"/>
      <c r="E65" s="1"/>
      <c r="F65" s="4"/>
      <c r="G65" s="1"/>
      <c r="H65" s="1"/>
      <c r="I65" s="1"/>
      <c r="J65" s="1"/>
      <c r="K65" s="1"/>
      <c r="L65" s="1" t="s">
        <v>9</v>
      </c>
    </row>
    <row r="66" spans="1:12">
      <c r="A66" s="1">
        <v>64</v>
      </c>
      <c r="B66" s="1"/>
      <c r="C66" s="1" t="s">
        <v>171</v>
      </c>
      <c r="D66" s="2"/>
      <c r="E66" s="1"/>
      <c r="F66" s="4"/>
      <c r="G66" s="1"/>
      <c r="H66" s="1"/>
      <c r="I66" s="1"/>
      <c r="J66" s="1"/>
      <c r="K66" s="2" t="s">
        <v>32</v>
      </c>
      <c r="L66" s="1" t="s">
        <v>9</v>
      </c>
    </row>
    <row r="67" spans="1:12">
      <c r="A67" s="1">
        <v>65</v>
      </c>
      <c r="B67" s="1"/>
      <c r="C67" s="1" t="s">
        <v>171</v>
      </c>
      <c r="D67" s="2"/>
      <c r="E67" s="1"/>
      <c r="F67" s="4"/>
      <c r="G67" s="1"/>
      <c r="H67" s="1"/>
      <c r="I67" s="1"/>
      <c r="J67" s="1"/>
      <c r="K67" s="1"/>
      <c r="L67" s="1" t="s">
        <v>9</v>
      </c>
    </row>
    <row r="68" spans="1:12">
      <c r="A68" s="1">
        <v>66</v>
      </c>
      <c r="B68" s="1"/>
      <c r="C68" s="1" t="s">
        <v>171</v>
      </c>
      <c r="D68" s="2"/>
      <c r="E68" s="1"/>
      <c r="F68" s="4"/>
      <c r="G68" s="1"/>
      <c r="H68" s="1"/>
      <c r="I68" s="1"/>
      <c r="J68" s="1"/>
      <c r="K68" s="1"/>
      <c r="L68" s="1" t="s">
        <v>9</v>
      </c>
    </row>
    <row r="69" spans="1:12">
      <c r="A69" s="1">
        <v>67</v>
      </c>
      <c r="B69" s="1"/>
      <c r="C69" s="1" t="s">
        <v>171</v>
      </c>
      <c r="D69" s="2"/>
      <c r="E69" s="1"/>
      <c r="F69" s="4"/>
      <c r="G69" s="1"/>
      <c r="H69" s="1"/>
      <c r="I69" s="1"/>
      <c r="J69" s="1"/>
      <c r="K69" s="1"/>
      <c r="L69" s="1" t="s">
        <v>9</v>
      </c>
    </row>
    <row r="70" spans="1:12">
      <c r="A70" s="1">
        <v>68</v>
      </c>
      <c r="B70" s="1"/>
      <c r="C70" s="1" t="s">
        <v>171</v>
      </c>
      <c r="D70" s="2"/>
      <c r="E70" s="1"/>
      <c r="F70" s="5"/>
      <c r="G70" s="1"/>
      <c r="H70" s="1"/>
      <c r="I70" s="1"/>
      <c r="J70" s="1"/>
      <c r="K70" s="1"/>
      <c r="L70" s="1" t="s">
        <v>9</v>
      </c>
    </row>
    <row r="71" spans="1:12">
      <c r="A71" s="1">
        <v>69</v>
      </c>
      <c r="B71" s="1"/>
      <c r="C71" s="1" t="s">
        <v>171</v>
      </c>
      <c r="D71" s="2"/>
      <c r="E71" s="1"/>
      <c r="F71" s="5"/>
      <c r="G71" s="1"/>
      <c r="H71" s="1"/>
      <c r="I71" s="1"/>
      <c r="J71" s="1"/>
      <c r="K71" s="1"/>
      <c r="L71" s="1" t="s">
        <v>9</v>
      </c>
    </row>
    <row r="72" spans="1:12">
      <c r="A72" s="1">
        <v>70</v>
      </c>
      <c r="B72" s="1"/>
      <c r="C72" s="1" t="s">
        <v>171</v>
      </c>
      <c r="D72" s="2"/>
      <c r="E72" s="1"/>
      <c r="F72" s="5"/>
      <c r="G72" s="2"/>
      <c r="H72" s="1"/>
      <c r="I72" s="1"/>
      <c r="J72" s="1"/>
      <c r="K72" s="1"/>
      <c r="L72" s="1" t="s">
        <v>9</v>
      </c>
    </row>
    <row r="73" spans="1:12">
      <c r="A73" s="1">
        <v>71</v>
      </c>
      <c r="B73" s="1"/>
      <c r="C73" s="1" t="s">
        <v>171</v>
      </c>
      <c r="D73" s="2"/>
      <c r="E73" s="1"/>
      <c r="F73" s="5"/>
      <c r="G73" s="2"/>
      <c r="H73" s="1"/>
      <c r="I73" s="1"/>
      <c r="J73" s="1"/>
      <c r="K73" s="1"/>
      <c r="L73" s="1" t="s">
        <v>9</v>
      </c>
    </row>
    <row r="74" spans="1:12">
      <c r="A74" s="1">
        <v>72</v>
      </c>
      <c r="B74" s="1"/>
      <c r="C74" s="1" t="s">
        <v>171</v>
      </c>
      <c r="D74" s="2"/>
      <c r="E74" s="1"/>
      <c r="F74" s="5"/>
      <c r="G74" s="2"/>
      <c r="H74" s="1"/>
      <c r="I74" s="1"/>
      <c r="J74" s="1"/>
      <c r="K74" s="1"/>
      <c r="L74" s="1" t="s">
        <v>9</v>
      </c>
    </row>
    <row r="75" spans="1:12">
      <c r="A75" s="1">
        <v>73</v>
      </c>
      <c r="B75" s="1"/>
      <c r="C75" s="1" t="s">
        <v>171</v>
      </c>
      <c r="D75" s="2"/>
      <c r="E75" s="1"/>
      <c r="F75" s="5"/>
      <c r="G75" s="2"/>
      <c r="H75" s="1"/>
      <c r="I75" s="1"/>
      <c r="J75" s="1"/>
      <c r="K75" s="1"/>
      <c r="L75" s="1" t="s">
        <v>9</v>
      </c>
    </row>
    <row r="76" spans="1:12">
      <c r="A76" s="1">
        <v>74</v>
      </c>
      <c r="B76" s="1"/>
      <c r="C76" s="1" t="s">
        <v>171</v>
      </c>
      <c r="D76" s="2"/>
      <c r="E76" s="1"/>
      <c r="F76" s="5"/>
      <c r="G76" s="2"/>
      <c r="H76" s="1"/>
      <c r="I76" s="1"/>
      <c r="J76" s="1"/>
      <c r="K76" s="1"/>
      <c r="L76" s="1" t="s">
        <v>9</v>
      </c>
    </row>
    <row r="77" spans="1:12">
      <c r="A77" s="1">
        <v>75</v>
      </c>
      <c r="B77" s="1"/>
      <c r="C77" s="1" t="s">
        <v>171</v>
      </c>
      <c r="D77" s="2"/>
      <c r="E77" s="1"/>
      <c r="F77" s="5"/>
      <c r="G77" s="2"/>
      <c r="H77" s="1"/>
      <c r="I77" s="1"/>
      <c r="J77" s="1"/>
      <c r="K77" s="1"/>
      <c r="L77" s="1" t="s">
        <v>9</v>
      </c>
    </row>
    <row r="78" spans="1:12">
      <c r="A78" s="1">
        <v>76</v>
      </c>
      <c r="B78" s="1"/>
      <c r="C78" s="1" t="s">
        <v>171</v>
      </c>
      <c r="D78" s="2"/>
      <c r="E78" s="1"/>
      <c r="F78" s="5"/>
      <c r="G78" s="2"/>
      <c r="H78" s="1"/>
      <c r="I78" s="1"/>
      <c r="J78" s="1"/>
      <c r="K78" s="1"/>
      <c r="L78" s="1" t="s">
        <v>9</v>
      </c>
    </row>
    <row r="79" spans="1:12">
      <c r="A79" s="1">
        <v>77</v>
      </c>
      <c r="B79" s="1"/>
      <c r="C79" s="1" t="s">
        <v>171</v>
      </c>
      <c r="D79" s="2"/>
      <c r="E79" s="1"/>
      <c r="F79" s="5"/>
      <c r="G79" s="2"/>
      <c r="H79" s="1"/>
      <c r="I79" s="1"/>
      <c r="J79" s="1"/>
      <c r="K79" s="1"/>
      <c r="L79" s="1" t="s">
        <v>9</v>
      </c>
    </row>
    <row r="80" spans="1:12">
      <c r="A80" s="1">
        <v>78</v>
      </c>
      <c r="B80" s="1"/>
      <c r="C80" s="1" t="s">
        <v>171</v>
      </c>
      <c r="D80" s="2"/>
      <c r="E80" s="1"/>
      <c r="F80" s="5"/>
      <c r="G80" s="2"/>
      <c r="H80" s="1"/>
      <c r="I80" s="1"/>
      <c r="J80" s="1"/>
      <c r="K80" s="1"/>
      <c r="L80" s="1" t="s">
        <v>9</v>
      </c>
    </row>
    <row r="81" spans="1:12">
      <c r="A81" s="1">
        <v>79</v>
      </c>
      <c r="B81" s="1"/>
      <c r="C81" s="1" t="s">
        <v>171</v>
      </c>
      <c r="D81" s="2"/>
      <c r="E81" s="1"/>
      <c r="F81" s="5"/>
      <c r="G81" s="2"/>
      <c r="H81" s="1"/>
      <c r="I81" s="1"/>
      <c r="J81" s="1"/>
      <c r="K81" s="1"/>
      <c r="L81" s="1" t="s">
        <v>9</v>
      </c>
    </row>
    <row r="82" spans="1:12">
      <c r="A82" s="1">
        <v>80</v>
      </c>
      <c r="B82" s="1"/>
      <c r="C82" s="1" t="s">
        <v>171</v>
      </c>
      <c r="D82" s="2"/>
      <c r="E82" s="1"/>
      <c r="F82" s="5"/>
      <c r="G82" s="2"/>
      <c r="H82" s="1"/>
      <c r="I82" s="1"/>
      <c r="J82" s="1"/>
      <c r="K82" s="1"/>
      <c r="L82" s="1" t="s">
        <v>9</v>
      </c>
    </row>
    <row r="83" spans="1:12">
      <c r="A83" s="1">
        <v>81</v>
      </c>
      <c r="B83" s="1"/>
      <c r="C83" s="1" t="s">
        <v>171</v>
      </c>
      <c r="D83" s="2"/>
      <c r="E83" s="1"/>
      <c r="F83" s="5"/>
      <c r="G83" s="2"/>
      <c r="H83" s="1"/>
      <c r="I83" s="1"/>
      <c r="J83" s="1"/>
      <c r="K83" s="1"/>
      <c r="L83" s="1" t="s">
        <v>9</v>
      </c>
    </row>
    <row r="84" spans="1:12">
      <c r="A84" s="1">
        <v>82</v>
      </c>
      <c r="B84" s="1"/>
      <c r="C84" s="1" t="s">
        <v>171</v>
      </c>
      <c r="D84" s="2"/>
      <c r="E84" s="1"/>
      <c r="F84" s="5"/>
      <c r="G84" s="2"/>
      <c r="H84" s="1"/>
      <c r="I84" s="1"/>
      <c r="J84" s="1"/>
      <c r="K84" s="1"/>
      <c r="L84" s="1" t="s">
        <v>9</v>
      </c>
    </row>
    <row r="85" spans="1:12">
      <c r="A85" s="1">
        <v>83</v>
      </c>
      <c r="B85" s="1"/>
      <c r="C85" s="1" t="s">
        <v>171</v>
      </c>
      <c r="D85" s="2"/>
      <c r="E85" s="1"/>
      <c r="F85" s="5"/>
      <c r="G85" s="2"/>
      <c r="H85" s="1"/>
      <c r="I85" s="1"/>
      <c r="J85" s="1"/>
      <c r="K85" s="1"/>
      <c r="L85" s="1" t="s">
        <v>9</v>
      </c>
    </row>
    <row r="86" spans="1:12">
      <c r="A86" s="1">
        <v>84</v>
      </c>
      <c r="B86" s="1"/>
      <c r="C86" s="1" t="s">
        <v>171</v>
      </c>
      <c r="D86" s="2"/>
      <c r="E86" s="1"/>
      <c r="F86" s="5"/>
      <c r="G86" s="2"/>
      <c r="H86" s="1"/>
      <c r="I86" s="1"/>
      <c r="J86" s="1"/>
      <c r="K86" s="1"/>
      <c r="L86" s="1" t="s">
        <v>9</v>
      </c>
    </row>
    <row r="87" spans="1:12">
      <c r="A87" s="1">
        <v>85</v>
      </c>
      <c r="B87" s="1"/>
      <c r="C87" s="1" t="s">
        <v>171</v>
      </c>
      <c r="D87" s="2"/>
      <c r="E87" s="1"/>
      <c r="F87" s="5"/>
      <c r="G87" s="2"/>
      <c r="H87" s="1"/>
      <c r="I87" s="1"/>
      <c r="J87" s="1"/>
      <c r="K87" s="1"/>
      <c r="L87" s="1" t="s">
        <v>9</v>
      </c>
    </row>
    <row r="88" spans="1:12">
      <c r="A88" s="1">
        <v>86</v>
      </c>
      <c r="B88" s="1"/>
      <c r="C88" s="1" t="s">
        <v>171</v>
      </c>
      <c r="D88" s="2"/>
      <c r="E88" s="1"/>
      <c r="F88" s="5"/>
      <c r="G88" s="2"/>
      <c r="H88" s="1"/>
      <c r="I88" s="1"/>
      <c r="J88" s="1"/>
      <c r="K88" s="1"/>
      <c r="L88" s="1" t="s">
        <v>9</v>
      </c>
    </row>
    <row r="89" spans="1:12">
      <c r="A89" s="1">
        <v>87</v>
      </c>
      <c r="B89" s="1"/>
      <c r="C89" s="1" t="s">
        <v>171</v>
      </c>
      <c r="D89" s="2"/>
      <c r="E89" s="1"/>
      <c r="F89" s="5"/>
      <c r="G89" s="2"/>
      <c r="H89" s="1"/>
      <c r="I89" s="1"/>
      <c r="J89" s="1"/>
      <c r="K89" s="1"/>
      <c r="L89" s="1" t="s">
        <v>9</v>
      </c>
    </row>
    <row r="90" spans="1:12">
      <c r="A90" s="1">
        <v>88</v>
      </c>
      <c r="B90" s="1"/>
      <c r="C90" s="1" t="s">
        <v>171</v>
      </c>
      <c r="D90" s="2"/>
      <c r="E90" s="1"/>
      <c r="F90" s="5"/>
      <c r="G90" s="2"/>
      <c r="H90" s="1"/>
      <c r="I90" s="1"/>
      <c r="J90" s="1"/>
      <c r="K90" s="1"/>
      <c r="L90" s="1" t="s">
        <v>9</v>
      </c>
    </row>
    <row r="91" spans="1:12">
      <c r="A91" s="1">
        <v>89</v>
      </c>
      <c r="B91" s="1"/>
      <c r="C91" s="1" t="s">
        <v>171</v>
      </c>
      <c r="D91" s="2"/>
      <c r="E91" s="1"/>
      <c r="F91" s="5"/>
      <c r="G91" s="2"/>
      <c r="H91" s="1"/>
      <c r="I91" s="1"/>
      <c r="J91" s="1"/>
      <c r="K91" s="1"/>
      <c r="L91" s="1" t="s">
        <v>9</v>
      </c>
    </row>
    <row r="92" spans="1:12">
      <c r="A92" s="1">
        <v>90</v>
      </c>
      <c r="B92" s="1"/>
      <c r="C92" s="1" t="s">
        <v>171</v>
      </c>
      <c r="D92" s="2"/>
      <c r="E92" s="1"/>
      <c r="F92" s="5"/>
      <c r="G92" s="2"/>
      <c r="H92" s="1"/>
      <c r="I92" s="1"/>
      <c r="J92" s="1"/>
      <c r="K92" s="1"/>
      <c r="L92" s="1" t="s">
        <v>9</v>
      </c>
    </row>
    <row r="93" spans="1:12">
      <c r="A93" s="1">
        <v>91</v>
      </c>
      <c r="B93" s="1"/>
      <c r="C93" s="1" t="s">
        <v>171</v>
      </c>
      <c r="D93" s="2"/>
      <c r="E93" s="1"/>
      <c r="F93" s="5"/>
      <c r="G93" s="2"/>
      <c r="H93" s="1"/>
      <c r="I93" s="1"/>
      <c r="J93" s="1"/>
      <c r="K93" s="1"/>
      <c r="L93" s="1" t="s">
        <v>9</v>
      </c>
    </row>
    <row r="94" spans="1:12">
      <c r="A94" s="1">
        <v>92</v>
      </c>
      <c r="B94" s="1"/>
      <c r="C94" s="1" t="s">
        <v>171</v>
      </c>
      <c r="D94" s="2"/>
      <c r="E94" s="1"/>
      <c r="F94" s="5"/>
      <c r="G94" s="2"/>
      <c r="H94" s="1"/>
      <c r="I94" s="1"/>
      <c r="J94" s="1"/>
      <c r="K94" s="1"/>
      <c r="L94" s="1" t="s">
        <v>9</v>
      </c>
    </row>
    <row r="95" spans="1:12">
      <c r="A95" s="1">
        <v>93</v>
      </c>
      <c r="B95" s="1"/>
      <c r="C95" s="1" t="s">
        <v>171</v>
      </c>
      <c r="D95" s="2"/>
      <c r="E95" s="1"/>
      <c r="F95" s="5"/>
      <c r="G95" s="2"/>
      <c r="H95" s="1"/>
      <c r="I95" s="1"/>
      <c r="J95" s="1"/>
      <c r="K95" s="1"/>
      <c r="L95" s="1" t="s">
        <v>9</v>
      </c>
    </row>
    <row r="96" spans="1:12">
      <c r="A96" s="7"/>
      <c r="B96" s="7"/>
      <c r="C96" s="7"/>
      <c r="D96" s="6"/>
      <c r="E96" s="7"/>
      <c r="F96" s="9"/>
      <c r="G96" s="6"/>
      <c r="H96" s="7">
        <f>SUM(H3:H95)</f>
        <v>0</v>
      </c>
      <c r="I96" s="7"/>
      <c r="J96" s="7"/>
      <c r="K96" s="7"/>
      <c r="L96" s="7"/>
    </row>
    <row r="97" spans="1:12">
      <c r="C97" s="7"/>
      <c r="D97" s="6"/>
      <c r="E97" s="7"/>
      <c r="F97" s="9"/>
      <c r="G97" s="6"/>
      <c r="H97" s="7"/>
      <c r="I97" s="7"/>
      <c r="J97" s="7"/>
      <c r="K97" s="7"/>
      <c r="L97" s="7"/>
    </row>
    <row r="98" spans="1:12">
      <c r="A98" t="s">
        <v>77</v>
      </c>
    </row>
    <row r="99" spans="1:12">
      <c r="A99" s="1"/>
      <c r="B99" s="2" t="s">
        <v>67</v>
      </c>
      <c r="C99" s="2" t="s">
        <v>171</v>
      </c>
      <c r="D99" s="2" t="s">
        <v>57</v>
      </c>
      <c r="E99" s="1" t="s">
        <v>97</v>
      </c>
      <c r="F99" s="4">
        <v>1</v>
      </c>
      <c r="G99" s="1" t="s">
        <v>66</v>
      </c>
      <c r="H99" s="1">
        <v>1</v>
      </c>
      <c r="I99" s="1"/>
      <c r="J99" s="1"/>
      <c r="K99" s="1"/>
      <c r="L99" s="1"/>
    </row>
    <row r="100" spans="1:12">
      <c r="A100" s="1"/>
      <c r="B100" s="2" t="s">
        <v>69</v>
      </c>
      <c r="C100" s="2" t="s">
        <v>171</v>
      </c>
      <c r="D100" s="2" t="s">
        <v>39</v>
      </c>
      <c r="E100" s="1" t="s">
        <v>97</v>
      </c>
      <c r="F100" s="4">
        <v>1</v>
      </c>
      <c r="G100" s="1" t="s">
        <v>66</v>
      </c>
      <c r="H100" s="1">
        <v>1</v>
      </c>
      <c r="I100" s="1"/>
      <c r="J100" s="1"/>
      <c r="K100" s="1"/>
      <c r="L100" s="1"/>
    </row>
    <row r="101" spans="1:12">
      <c r="A101" s="1"/>
      <c r="B101" s="2" t="s">
        <v>67</v>
      </c>
      <c r="C101" s="2" t="s">
        <v>171</v>
      </c>
      <c r="D101" s="2" t="s">
        <v>45</v>
      </c>
      <c r="E101" s="1" t="s">
        <v>97</v>
      </c>
      <c r="F101" s="4">
        <v>1</v>
      </c>
      <c r="G101" s="1" t="s">
        <v>66</v>
      </c>
      <c r="H101" s="1">
        <v>1</v>
      </c>
      <c r="I101" s="1"/>
      <c r="J101" s="1"/>
      <c r="K101" s="1"/>
      <c r="L101" s="1"/>
    </row>
    <row r="102" spans="1:12">
      <c r="A102" s="1"/>
      <c r="B102" s="2" t="s">
        <v>68</v>
      </c>
      <c r="C102" s="2" t="s">
        <v>171</v>
      </c>
      <c r="D102" s="2" t="s">
        <v>45</v>
      </c>
      <c r="E102" s="1" t="s">
        <v>98</v>
      </c>
      <c r="F102" s="4">
        <v>1</v>
      </c>
      <c r="G102" s="1" t="s">
        <v>66</v>
      </c>
      <c r="H102" s="1">
        <v>1</v>
      </c>
      <c r="I102" s="1"/>
      <c r="J102" s="1"/>
      <c r="K102" s="1"/>
      <c r="L102" s="1"/>
    </row>
    <row r="103" spans="1:12">
      <c r="A103" s="1"/>
      <c r="B103" s="2" t="s">
        <v>67</v>
      </c>
      <c r="C103" s="2" t="s">
        <v>171</v>
      </c>
      <c r="D103" s="2" t="s">
        <v>65</v>
      </c>
      <c r="E103" s="1" t="s">
        <v>97</v>
      </c>
      <c r="F103" s="4">
        <v>1</v>
      </c>
      <c r="G103" s="1" t="s">
        <v>66</v>
      </c>
      <c r="H103" s="1">
        <v>1</v>
      </c>
      <c r="I103" s="1"/>
      <c r="J103" s="1"/>
      <c r="K103" s="1"/>
      <c r="L103" s="1"/>
    </row>
    <row r="104" spans="1:12">
      <c r="A104" s="1"/>
      <c r="B104" s="2" t="s">
        <v>69</v>
      </c>
      <c r="C104" s="2" t="s">
        <v>171</v>
      </c>
      <c r="D104" s="2" t="s">
        <v>49</v>
      </c>
      <c r="E104" s="1" t="s">
        <v>97</v>
      </c>
      <c r="F104" s="4">
        <v>1</v>
      </c>
      <c r="G104" s="1" t="s">
        <v>66</v>
      </c>
      <c r="H104" s="1">
        <v>1</v>
      </c>
      <c r="I104" s="1"/>
      <c r="J104" s="1"/>
      <c r="K104" s="1"/>
      <c r="L104" s="1"/>
    </row>
    <row r="105" spans="1:12">
      <c r="A105" s="1"/>
      <c r="B105" s="2" t="s">
        <v>67</v>
      </c>
      <c r="C105" s="2" t="s">
        <v>171</v>
      </c>
      <c r="D105" s="2" t="s">
        <v>23</v>
      </c>
      <c r="E105" s="1" t="s">
        <v>97</v>
      </c>
      <c r="F105" s="4">
        <v>1</v>
      </c>
      <c r="G105" s="1" t="s">
        <v>66</v>
      </c>
      <c r="H105" s="1">
        <v>1</v>
      </c>
      <c r="I105" s="1"/>
      <c r="J105" s="1"/>
      <c r="K105" s="1"/>
      <c r="L105" s="1"/>
    </row>
    <row r="106" spans="1:12">
      <c r="A106" s="1"/>
      <c r="B106" s="2" t="s">
        <v>68</v>
      </c>
      <c r="C106" s="2" t="s">
        <v>171</v>
      </c>
      <c r="D106" s="2" t="s">
        <v>23</v>
      </c>
      <c r="E106" s="1" t="s">
        <v>98</v>
      </c>
      <c r="F106" s="4">
        <v>1</v>
      </c>
      <c r="G106" s="1" t="s">
        <v>66</v>
      </c>
      <c r="H106" s="1">
        <v>1</v>
      </c>
      <c r="I106" s="1"/>
      <c r="J106" s="1"/>
      <c r="K106" s="1"/>
      <c r="L106" s="1"/>
    </row>
    <row r="107" spans="1:12">
      <c r="A107" s="1"/>
      <c r="B107" s="1" t="s">
        <v>67</v>
      </c>
      <c r="C107" s="1" t="s">
        <v>171</v>
      </c>
      <c r="D107" s="1" t="s">
        <v>151</v>
      </c>
      <c r="E107" s="1" t="s">
        <v>97</v>
      </c>
      <c r="F107" s="4">
        <v>1</v>
      </c>
      <c r="G107" s="1" t="s">
        <v>66</v>
      </c>
      <c r="H107" s="1">
        <v>2</v>
      </c>
      <c r="I107" s="1"/>
      <c r="J107" s="1"/>
      <c r="K107" s="1"/>
      <c r="L107" s="1"/>
    </row>
    <row r="108" spans="1:12">
      <c r="A108" s="1"/>
      <c r="B108" s="1" t="s">
        <v>68</v>
      </c>
      <c r="C108" s="1" t="s">
        <v>171</v>
      </c>
      <c r="D108" s="1" t="s">
        <v>151</v>
      </c>
      <c r="E108" s="1" t="s">
        <v>98</v>
      </c>
      <c r="F108" s="4">
        <v>1</v>
      </c>
      <c r="G108" s="1" t="s">
        <v>66</v>
      </c>
      <c r="H108" s="1">
        <v>1</v>
      </c>
      <c r="I108" s="1"/>
      <c r="J108" s="1"/>
      <c r="K108" s="1"/>
      <c r="L108" s="1"/>
    </row>
    <row r="109" spans="1:12">
      <c r="A109" s="1"/>
      <c r="B109" s="2" t="s">
        <v>67</v>
      </c>
      <c r="C109" s="1" t="s">
        <v>171</v>
      </c>
      <c r="D109" s="2" t="s">
        <v>160</v>
      </c>
      <c r="E109" s="1" t="s">
        <v>97</v>
      </c>
      <c r="F109" s="4">
        <v>1</v>
      </c>
      <c r="G109" s="1" t="s">
        <v>66</v>
      </c>
      <c r="H109" s="2">
        <v>4</v>
      </c>
      <c r="I109" s="1"/>
      <c r="J109" s="1"/>
      <c r="K109" s="1"/>
      <c r="L109" s="1"/>
    </row>
    <row r="110" spans="1:12">
      <c r="A110" s="1"/>
      <c r="B110" s="2" t="s">
        <v>68</v>
      </c>
      <c r="C110" s="1" t="s">
        <v>171</v>
      </c>
      <c r="D110" s="2" t="s">
        <v>161</v>
      </c>
      <c r="E110" s="1" t="s">
        <v>98</v>
      </c>
      <c r="F110" s="4">
        <v>1</v>
      </c>
      <c r="G110" s="1" t="s">
        <v>66</v>
      </c>
      <c r="H110" s="2">
        <v>1</v>
      </c>
      <c r="I110" s="1"/>
      <c r="J110" s="1"/>
      <c r="K110" s="1"/>
      <c r="L110" s="1"/>
    </row>
    <row r="111" spans="1:12">
      <c r="A111" s="1"/>
      <c r="B111" s="1" t="s">
        <v>162</v>
      </c>
      <c r="C111" s="1" t="s">
        <v>171</v>
      </c>
      <c r="D111" s="1" t="s">
        <v>11</v>
      </c>
      <c r="E111" s="1" t="s">
        <v>97</v>
      </c>
      <c r="F111" s="4">
        <v>1</v>
      </c>
      <c r="G111" s="1" t="s">
        <v>66</v>
      </c>
      <c r="H111" s="1">
        <v>2</v>
      </c>
      <c r="I111" s="1"/>
      <c r="J111" s="1"/>
      <c r="K111" s="1"/>
      <c r="L111" s="1"/>
    </row>
    <row r="112" spans="1:12">
      <c r="A112" s="1"/>
      <c r="B112" s="1" t="s">
        <v>69</v>
      </c>
      <c r="C112" s="1" t="s">
        <v>171</v>
      </c>
      <c r="D112" s="1" t="s">
        <v>11</v>
      </c>
      <c r="E112" s="1" t="s">
        <v>97</v>
      </c>
      <c r="F112" s="4">
        <v>1</v>
      </c>
      <c r="G112" s="1" t="s">
        <v>66</v>
      </c>
      <c r="H112" s="1">
        <v>2</v>
      </c>
      <c r="I112" s="1"/>
      <c r="J112" s="1"/>
      <c r="K112" s="1"/>
      <c r="L112" s="1"/>
    </row>
    <row r="113" spans="1:12">
      <c r="A113" s="1"/>
      <c r="B113" s="1" t="s">
        <v>68</v>
      </c>
      <c r="C113" s="1" t="s">
        <v>171</v>
      </c>
      <c r="D113" s="1" t="s">
        <v>11</v>
      </c>
      <c r="E113" s="1" t="s">
        <v>98</v>
      </c>
      <c r="F113" s="4">
        <v>1</v>
      </c>
      <c r="G113" s="1" t="s">
        <v>66</v>
      </c>
      <c r="H113" s="1">
        <v>9</v>
      </c>
      <c r="I113" s="1"/>
      <c r="J113" s="1"/>
      <c r="K113" s="1"/>
      <c r="L113" s="1"/>
    </row>
    <row r="114" spans="1:12">
      <c r="A114" s="7"/>
      <c r="B114" s="7"/>
      <c r="C114" s="7"/>
      <c r="D114" s="7"/>
      <c r="E114" s="7"/>
      <c r="F114" s="8"/>
      <c r="G114" s="7"/>
      <c r="H114" s="7">
        <f>SUM(H99:H113)</f>
        <v>29</v>
      </c>
      <c r="I114" s="7"/>
      <c r="J114" s="7"/>
      <c r="K114" s="7"/>
      <c r="L114" s="7"/>
    </row>
    <row r="116" spans="1:12" ht="17.25" customHeight="1">
      <c r="A116" t="s">
        <v>70</v>
      </c>
    </row>
    <row r="117" spans="1:12">
      <c r="A117" s="1"/>
      <c r="B117" s="1"/>
      <c r="C117" s="1" t="s">
        <v>171</v>
      </c>
      <c r="D117" s="1" t="s">
        <v>71</v>
      </c>
      <c r="E117" s="1" t="s">
        <v>72</v>
      </c>
      <c r="F117" s="4">
        <v>1</v>
      </c>
      <c r="G117" s="1" t="s">
        <v>70</v>
      </c>
      <c r="H117" s="1">
        <v>98</v>
      </c>
      <c r="I117" s="1"/>
      <c r="J117" s="1"/>
      <c r="K117" s="1"/>
      <c r="L117" s="1"/>
    </row>
  </sheetData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</vt:i4>
      </vt:variant>
    </vt:vector>
  </HeadingPairs>
  <TitlesOfParts>
    <vt:vector size="24" baseType="lpstr">
      <vt:lpstr>設定ベースライン</vt:lpstr>
      <vt:lpstr>直近36ヶ月使用電力量</vt:lpstr>
      <vt:lpstr>照明器具一覧</vt:lpstr>
      <vt:lpstr>照明設備稼働時間</vt:lpstr>
      <vt:lpstr>照明器具台数</vt:lpstr>
      <vt:lpstr>既設照明器具リスト</vt:lpstr>
      <vt:lpstr>使用電力量</vt:lpstr>
      <vt:lpstr>集計表</vt:lpstr>
      <vt:lpstr>本庁舎屋外</vt:lpstr>
      <vt:lpstr>本庁舎B１</vt:lpstr>
      <vt:lpstr>本庁舎１Ｆ</vt:lpstr>
      <vt:lpstr>本庁舎２Ｆ</vt:lpstr>
      <vt:lpstr>本庁舎3Ｆ</vt:lpstr>
      <vt:lpstr>本庁舎4Ｆ</vt:lpstr>
      <vt:lpstr>本庁舎５F</vt:lpstr>
      <vt:lpstr>本庁舎６F</vt:lpstr>
      <vt:lpstr>本庁舎７Ｆ</vt:lpstr>
      <vt:lpstr>本庁舎８Ｆ</vt:lpstr>
      <vt:lpstr>本庁舎RＦ</vt:lpstr>
      <vt:lpstr>(例)本庁舎※Ｆ</vt:lpstr>
      <vt:lpstr>既設照明器具リスト!Print_Area</vt:lpstr>
      <vt:lpstr>使用電力量!Print_Area</vt:lpstr>
      <vt:lpstr>既設照明器具リスト!Print_Titles</vt:lpstr>
      <vt:lpstr>照明器具一覧!Print_Titles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2025-03-23T05:24:47Z</cp:lastPrinted>
  <dcterms:created xsi:type="dcterms:W3CDTF">2015-06-05T18:19:34Z</dcterms:created>
  <dcterms:modified xsi:type="dcterms:W3CDTF">2025-03-23T07:27:28Z</dcterms:modified>
</cp:coreProperties>
</file>